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0" yWindow="45" windowWidth="7350" windowHeight="8955" activeTab="4"/>
  </bookViews>
  <sheets>
    <sheet name="granulometria" sheetId="1" r:id="rId1"/>
    <sheet name="limites" sheetId="2" r:id="rId2"/>
    <sheet name="compactacion" sheetId="3" r:id="rId3"/>
    <sheet name="C.B.R." sheetId="4" r:id="rId4"/>
    <sheet name="clasificacion" sheetId="5" r:id="rId5"/>
  </sheets>
  <definedNames/>
  <calcPr fullCalcOnLoad="1"/>
</workbook>
</file>

<file path=xl/sharedStrings.xml><?xml version="1.0" encoding="utf-8"?>
<sst xmlns="http://schemas.openxmlformats.org/spreadsheetml/2006/main" count="1593" uniqueCount="238">
  <si>
    <t>ANALISIS GRANULOMETRICO</t>
  </si>
  <si>
    <t>MUESTRA Nº</t>
  </si>
  <si>
    <t xml:space="preserve">PROYECTO </t>
  </si>
  <si>
    <t>CIV - 3328</t>
  </si>
  <si>
    <t>PROCEDENCIA</t>
  </si>
  <si>
    <t>Pozo Nº 1</t>
  </si>
  <si>
    <t>suelo humedo + capsula, P1</t>
  </si>
  <si>
    <t>Suelo seco + capsula, P2</t>
  </si>
  <si>
    <t>peso de agua; Pa = (P1 - P2)</t>
  </si>
  <si>
    <t>peso de la capsula, Pc</t>
  </si>
  <si>
    <t>Peso del suelo seco, Ps = (P2-Pc)</t>
  </si>
  <si>
    <t>porcentaje de humedad</t>
  </si>
  <si>
    <t>MUESTRA TOTAL SECA</t>
  </si>
  <si>
    <t>Muestra total humeda, Pht</t>
  </si>
  <si>
    <t>Agregado grueso (ret Nº 10) = A.G.=</t>
  </si>
  <si>
    <t>Pasa Nº 10 humedo, Mh</t>
  </si>
  <si>
    <t>Pasa Nº 10 seco</t>
  </si>
  <si>
    <t xml:space="preserve"> </t>
  </si>
  <si>
    <t>Muestra total seca, Pst=(A.G.+Ms)=</t>
  </si>
  <si>
    <t>P, retenido</t>
  </si>
  <si>
    <t>en grs</t>
  </si>
  <si>
    <t>Retenido acumulado</t>
  </si>
  <si>
    <t>Grs.</t>
  </si>
  <si>
    <t>%</t>
  </si>
  <si>
    <t>% que pasa</t>
  </si>
  <si>
    <t>del total</t>
  </si>
  <si>
    <t>2"</t>
  </si>
  <si>
    <t>1 1/2"</t>
  </si>
  <si>
    <t>1"</t>
  </si>
  <si>
    <t>3/4"</t>
  </si>
  <si>
    <t>3/8"</t>
  </si>
  <si>
    <t>Nº 4</t>
  </si>
  <si>
    <t>Nº 10</t>
  </si>
  <si>
    <t>ANALISIS DE TAMICES DEL AGREGADO FINO</t>
  </si>
  <si>
    <t>Pasa Nº 10 humedo Sh,</t>
  </si>
  <si>
    <t>Nº 20</t>
  </si>
  <si>
    <t>Nº 40</t>
  </si>
  <si>
    <t>Nº 200</t>
  </si>
  <si>
    <t>Ss=</t>
  </si>
  <si>
    <t>de mortero</t>
  </si>
  <si>
    <t>ANALISIS DE TAMICES DEL AGREGADO GRUESO</t>
  </si>
  <si>
    <t>DETERMINACION DE LIMITES LIQUIDO Y PLASTICO</t>
  </si>
  <si>
    <t>Numero de golpes</t>
  </si>
  <si>
    <t>LIMITE LIQUIDO</t>
  </si>
  <si>
    <t>NºG</t>
  </si>
  <si>
    <t>%W</t>
  </si>
  <si>
    <t>L.L.</t>
  </si>
  <si>
    <t>Nº Golpes</t>
  </si>
  <si>
    <t>LIMITE PLASTICO</t>
  </si>
  <si>
    <t>Indice Plástico  :</t>
  </si>
  <si>
    <t>Lata N°</t>
  </si>
  <si>
    <t>Peso de suelo húmedo + lata</t>
  </si>
  <si>
    <t>Peso de suelo seco + lata</t>
  </si>
  <si>
    <t>Peso de lata</t>
  </si>
  <si>
    <t>Peso de suelo seco</t>
  </si>
  <si>
    <t>Peso de agua</t>
  </si>
  <si>
    <t>Contenido de humedad   %W</t>
  </si>
  <si>
    <t>RESULTADOS:</t>
  </si>
  <si>
    <t>Límite Plástico  :</t>
  </si>
  <si>
    <t>Límite Líquido   :</t>
  </si>
  <si>
    <t>Indice de grupo</t>
  </si>
  <si>
    <t>a=</t>
  </si>
  <si>
    <t>b=</t>
  </si>
  <si>
    <t>c=</t>
  </si>
  <si>
    <t>d=</t>
  </si>
  <si>
    <t xml:space="preserve">    Indice de Flujo</t>
  </si>
  <si>
    <t>Pozo Nº 2</t>
  </si>
  <si>
    <t>Pozo Nº 3</t>
  </si>
  <si>
    <t>Pozo Nº 4</t>
  </si>
  <si>
    <t>Pozo Nº 5</t>
  </si>
  <si>
    <t>Pozo Nº 6</t>
  </si>
  <si>
    <t>Molde Nº :</t>
  </si>
  <si>
    <t xml:space="preserve">  [cm3]</t>
  </si>
  <si>
    <t>Peso:</t>
  </si>
  <si>
    <t xml:space="preserve">OBSERVACIONES  : </t>
  </si>
  <si>
    <t>Densidad seca máx.     :</t>
  </si>
  <si>
    <t>Humedad Optima         :</t>
  </si>
  <si>
    <t>[ % ]</t>
  </si>
  <si>
    <t>CARACTERISTICAS DEL SUELO</t>
  </si>
  <si>
    <t>Muestra No.</t>
  </si>
  <si>
    <t>LL</t>
  </si>
  <si>
    <t>LP</t>
  </si>
  <si>
    <t>Fondo</t>
  </si>
  <si>
    <t>Antes de mojarse</t>
  </si>
  <si>
    <t>FECHA</t>
  </si>
  <si>
    <t>HORA</t>
  </si>
  <si>
    <t>TIEMPO</t>
  </si>
  <si>
    <t>MOLDE No. 1</t>
  </si>
  <si>
    <t>Lectura</t>
  </si>
  <si>
    <t>Extens.</t>
  </si>
  <si>
    <t>EXPANSIÓN</t>
  </si>
  <si>
    <t>cm</t>
  </si>
  <si>
    <t>PENETRACION</t>
  </si>
  <si>
    <t>t/min</t>
  </si>
  <si>
    <t>Pulg</t>
  </si>
  <si>
    <t>CARGA</t>
  </si>
  <si>
    <t>NORMAL</t>
  </si>
  <si>
    <t>Lbs/cm2</t>
  </si>
  <si>
    <t>C. B. R.</t>
  </si>
  <si>
    <t>D. Max</t>
  </si>
  <si>
    <t>%h Opt.</t>
  </si>
  <si>
    <t>CONTENIDO DE HUMEDAD Y PESO UNITARIO</t>
  </si>
  <si>
    <t xml:space="preserve">  N° de capas</t>
  </si>
  <si>
    <t xml:space="preserve">  N° de golpes por capa</t>
  </si>
  <si>
    <t xml:space="preserve">  Peso molde + suelo húmedo</t>
  </si>
  <si>
    <t xml:space="preserve">  Peso molde</t>
  </si>
  <si>
    <t xml:space="preserve">  Volumen molde</t>
  </si>
  <si>
    <t xml:space="preserve">  Peso suelo húmedo</t>
  </si>
  <si>
    <t xml:space="preserve">  Cápsula N°</t>
  </si>
  <si>
    <t xml:space="preserve">  Peso suelo húmedo + tara</t>
  </si>
  <si>
    <t xml:space="preserve">  Peso suelo seco + tara</t>
  </si>
  <si>
    <t xml:space="preserve">  Peso del agua</t>
  </si>
  <si>
    <t xml:space="preserve">  Peso de la tara</t>
  </si>
  <si>
    <t xml:space="preserve">  Peso suelo seco</t>
  </si>
  <si>
    <t xml:space="preserve">  Contenido de humedad [ % w ]</t>
  </si>
  <si>
    <t>Clasificación</t>
  </si>
  <si>
    <t>Despues de</t>
  </si>
  <si>
    <t>Superf.</t>
  </si>
  <si>
    <t>MOLDE No. 2</t>
  </si>
  <si>
    <t>MOLDE No. 3</t>
  </si>
  <si>
    <t>MOLDE No 1</t>
  </si>
  <si>
    <t>MOLDE No 2</t>
  </si>
  <si>
    <t>MOLDE No 3</t>
  </si>
  <si>
    <t>Carga ensayo</t>
  </si>
  <si>
    <t>Lec.Ext.</t>
  </si>
  <si>
    <t>Lbs</t>
  </si>
  <si>
    <t>C.B.R.</t>
  </si>
  <si>
    <t>TRANSCURRI-</t>
  </si>
  <si>
    <t>DO  DIAS</t>
  </si>
  <si>
    <t>2 º Sup</t>
  </si>
  <si>
    <t>C.B.R. Corr.</t>
  </si>
  <si>
    <t>12 golpes</t>
  </si>
  <si>
    <t>25 golpes</t>
  </si>
  <si>
    <t>56 golpes</t>
  </si>
  <si>
    <t>molde</t>
  </si>
  <si>
    <t>p. Especif.</t>
  </si>
  <si>
    <t>c.b.r.</t>
  </si>
  <si>
    <t>C.B.R. AL 100 %</t>
  </si>
  <si>
    <t>C.B.R. AL 95 %</t>
  </si>
  <si>
    <t>Al 100 % de D. Max.</t>
  </si>
  <si>
    <t>Al 95 % de D. Max.</t>
  </si>
  <si>
    <t>C.B.R. =</t>
  </si>
  <si>
    <t xml:space="preserve"> Molde No.</t>
  </si>
  <si>
    <t xml:space="preserve"> No. de capas</t>
  </si>
  <si>
    <t xml:space="preserve"> No. de golpes de la capa</t>
  </si>
  <si>
    <t xml:space="preserve"> Condición de la muestra:</t>
  </si>
  <si>
    <t xml:space="preserve"> Peso muestra Hum. + molde</t>
  </si>
  <si>
    <t xml:space="preserve"> Peso del molde</t>
  </si>
  <si>
    <t xml:space="preserve"> Volumen de la muestra</t>
  </si>
  <si>
    <t xml:space="preserve"> Muestra de humedad del:</t>
  </si>
  <si>
    <t xml:space="preserve"> Peso del agua</t>
  </si>
  <si>
    <t xml:space="preserve"> Peso de la muestra seca</t>
  </si>
  <si>
    <t xml:space="preserve"> Promedio de cont. De humedad</t>
  </si>
  <si>
    <t xml:space="preserve"> Peso muestra humeda</t>
  </si>
  <si>
    <t xml:space="preserve"> Capsula No.</t>
  </si>
  <si>
    <t xml:space="preserve"> Peso muestra Hum. + capsula</t>
  </si>
  <si>
    <t xml:space="preserve"> Peso muestra seca + capsula</t>
  </si>
  <si>
    <t xml:space="preserve"> Peso de la capsula</t>
  </si>
  <si>
    <t xml:space="preserve"> Contenido de humedad      % W</t>
  </si>
  <si>
    <t>1 º molde</t>
  </si>
  <si>
    <t>2 º molde</t>
  </si>
  <si>
    <t>3 º molde</t>
  </si>
  <si>
    <t>D =</t>
  </si>
  <si>
    <t>H =</t>
  </si>
  <si>
    <t>Vol =</t>
  </si>
  <si>
    <t>RELACION SOPORTE CALIFORNIA</t>
  </si>
  <si>
    <r>
      <t xml:space="preserve"> Peso unit. de muestra hum.  gr/cm</t>
    </r>
    <r>
      <rPr>
        <vertAlign val="superscript"/>
        <sz val="9"/>
        <rFont val="Swis721 Lt BT"/>
        <family val="2"/>
      </rPr>
      <t>3</t>
    </r>
  </si>
  <si>
    <r>
      <t xml:space="preserve"> Peso unit. de muestra seca  gr/cm</t>
    </r>
    <r>
      <rPr>
        <vertAlign val="superscript"/>
        <sz val="9"/>
        <rFont val="Swis721 Lt BT"/>
        <family val="2"/>
      </rPr>
      <t>3</t>
    </r>
  </si>
  <si>
    <t>%exp</t>
  </si>
  <si>
    <t>IG=</t>
  </si>
  <si>
    <t>J</t>
  </si>
  <si>
    <t>R</t>
  </si>
  <si>
    <t>G</t>
  </si>
  <si>
    <t>A</t>
  </si>
  <si>
    <t>T</t>
  </si>
  <si>
    <t>D</t>
  </si>
  <si>
    <t>N</t>
  </si>
  <si>
    <t>H</t>
  </si>
  <si>
    <t>Z</t>
  </si>
  <si>
    <t>I</t>
  </si>
  <si>
    <t>K</t>
  </si>
  <si>
    <t>C</t>
  </si>
  <si>
    <t>O</t>
  </si>
  <si>
    <t>A- 4  [ 6 ]</t>
  </si>
  <si>
    <t>Pozo nº1</t>
  </si>
  <si>
    <t>Pozo nº2</t>
  </si>
  <si>
    <t>Pozo nº3</t>
  </si>
  <si>
    <t>Pozo nº4</t>
  </si>
  <si>
    <t>Pozo nº5</t>
  </si>
  <si>
    <t>ML</t>
  </si>
  <si>
    <t>E - 6</t>
  </si>
  <si>
    <t>CLASIFICACION :</t>
  </si>
  <si>
    <t>FAA</t>
  </si>
  <si>
    <t>AASHTO</t>
  </si>
  <si>
    <t>SIST. UNIFIC.</t>
  </si>
  <si>
    <t>cal.</t>
  </si>
  <si>
    <t>adop.</t>
  </si>
  <si>
    <t>%QP  T 200</t>
  </si>
  <si>
    <t>IP</t>
  </si>
  <si>
    <t>B</t>
  </si>
  <si>
    <t>L</t>
  </si>
  <si>
    <t>C.B.R =</t>
  </si>
  <si>
    <t>D max=</t>
  </si>
  <si>
    <t>E</t>
  </si>
  <si>
    <t>U</t>
  </si>
  <si>
    <t>CBR=</t>
  </si>
  <si>
    <t>M-1</t>
  </si>
  <si>
    <t>M-2</t>
  </si>
  <si>
    <t>M-3</t>
  </si>
  <si>
    <t>M-4</t>
  </si>
  <si>
    <t>M-5</t>
  </si>
  <si>
    <t>M-6</t>
  </si>
  <si>
    <t>A- 5  [ 9 ]</t>
  </si>
  <si>
    <t>A- 5  [ 11 ]</t>
  </si>
  <si>
    <t>A- 6  [ 8 ]</t>
  </si>
  <si>
    <t>A- 4  [ 0 ]</t>
  </si>
  <si>
    <t>A- 4  [ 5 ]</t>
  </si>
  <si>
    <t>Suelo humedo + capsula, P1</t>
  </si>
  <si>
    <t>Peso de agua; Pa = (P1 - P2)</t>
  </si>
  <si>
    <t>Peso de la capsula, Pc</t>
  </si>
  <si>
    <t>Porcentaje de humedad</t>
  </si>
  <si>
    <t>HUMEDAD HIGROSCOPICA %H</t>
  </si>
  <si>
    <t>Tamices</t>
  </si>
  <si>
    <t>ENSAYO DE COMPACTACION</t>
  </si>
  <si>
    <t>Volumen:</t>
  </si>
  <si>
    <r>
      <t xml:space="preserve">  Densidad del suelo húmedo [gr/cm</t>
    </r>
    <r>
      <rPr>
        <vertAlign val="superscript"/>
        <sz val="9"/>
        <rFont val="Century Gothic"/>
        <family val="2"/>
      </rPr>
      <t>3</t>
    </r>
    <r>
      <rPr>
        <sz val="9"/>
        <rFont val="Century Gothic"/>
        <family val="2"/>
      </rPr>
      <t>]</t>
    </r>
  </si>
  <si>
    <r>
      <t xml:space="preserve">  Densidad suelo seco  [ gr/cm</t>
    </r>
    <r>
      <rPr>
        <vertAlign val="superscript"/>
        <sz val="9"/>
        <rFont val="Century Gothic"/>
        <family val="2"/>
      </rPr>
      <t xml:space="preserve">3 </t>
    </r>
    <r>
      <rPr>
        <sz val="9"/>
        <rFont val="Century Gothic"/>
        <family val="2"/>
      </rPr>
      <t>]</t>
    </r>
  </si>
  <si>
    <r>
      <t>[Gr./cm</t>
    </r>
    <r>
      <rPr>
        <vertAlign val="superscript"/>
        <sz val="9"/>
        <rFont val="Century Gothic"/>
        <family val="2"/>
      </rPr>
      <t>3</t>
    </r>
    <r>
      <rPr>
        <sz val="9"/>
        <rFont val="Century Gothic"/>
        <family val="2"/>
      </rPr>
      <t>]</t>
    </r>
  </si>
  <si>
    <t>Volumen =</t>
  </si>
  <si>
    <t>Pozo nº6</t>
  </si>
  <si>
    <t xml:space="preserve">A- 4 [6]  </t>
  </si>
  <si>
    <t xml:space="preserve">A- 5[9]  </t>
  </si>
  <si>
    <t xml:space="preserve">A- 5[11]  </t>
  </si>
  <si>
    <t xml:space="preserve">A- 6[8] </t>
  </si>
  <si>
    <t xml:space="preserve">A- 4[0]  </t>
  </si>
  <si>
    <t xml:space="preserve">A- 4[5]  </t>
  </si>
  <si>
    <t>E - 8</t>
  </si>
  <si>
    <t>ENSAYO DE RELACION DE SOPORTE CALIFORNIA</t>
  </si>
</sst>
</file>

<file path=xl/styles.xml><?xml version="1.0" encoding="utf-8"?>
<styleSheet xmlns="http://schemas.openxmlformats.org/spreadsheetml/2006/main">
  <numFmts count="2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&quot;$b&quot;\ * #,##0_ ;_ &quot;$b&quot;\ * \-#,##0_ ;_ &quot;$b&quot;\ * &quot;-&quot;_ ;_ @_ "/>
    <numFmt numFmtId="173" formatCode="_ &quot;$b&quot;\ * #,##0.00_ ;_ &quot;$b&quot;\ * \-#,##0.00_ ;_ &quot;$b&quot;\ * &quot;-&quot;??_ ;_ @_ "/>
    <numFmt numFmtId="174" formatCode="0.000"/>
    <numFmt numFmtId="175" formatCode="0.0"/>
    <numFmt numFmtId="176" formatCode="#.000;##0.000"/>
    <numFmt numFmtId="177" formatCode="0.00000"/>
    <numFmt numFmtId="178" formatCode="0.0000"/>
    <numFmt numFmtId="179" formatCode="0.000000000"/>
    <numFmt numFmtId="180" formatCode="0.00000000"/>
    <numFmt numFmtId="181" formatCode="0.0000000"/>
    <numFmt numFmtId="182" formatCode="0.000000"/>
  </numFmts>
  <fonts count="123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Swis721 Lt BT"/>
      <family val="2"/>
    </font>
    <font>
      <b/>
      <sz val="12"/>
      <name val="Swis721 Ex BT"/>
      <family val="2"/>
    </font>
    <font>
      <b/>
      <sz val="10"/>
      <name val="Swis721 Ex BT"/>
      <family val="2"/>
    </font>
    <font>
      <b/>
      <sz val="11"/>
      <name val="Swis721 Lt BT"/>
      <family val="2"/>
    </font>
    <font>
      <b/>
      <sz val="10"/>
      <name val="Swis721 Lt BT"/>
      <family val="2"/>
    </font>
    <font>
      <sz val="12"/>
      <name val="Swis721 Lt BT"/>
      <family val="2"/>
    </font>
    <font>
      <sz val="10"/>
      <color indexed="12"/>
      <name val="Swis721 Lt BT"/>
      <family val="2"/>
    </font>
    <font>
      <i/>
      <sz val="10"/>
      <name val="Swis721 Lt BT"/>
      <family val="2"/>
    </font>
    <font>
      <sz val="10"/>
      <color indexed="10"/>
      <name val="Arial"/>
      <family val="2"/>
    </font>
    <font>
      <sz val="8"/>
      <color indexed="12"/>
      <name val="Swis721 Lt BT"/>
      <family val="2"/>
    </font>
    <font>
      <sz val="8"/>
      <name val="Swis721 Lt BT"/>
      <family val="2"/>
    </font>
    <font>
      <sz val="9"/>
      <name val="Swis721 Lt BT"/>
      <family val="2"/>
    </font>
    <font>
      <vertAlign val="superscript"/>
      <sz val="9"/>
      <name val="Swis721 Lt BT"/>
      <family val="2"/>
    </font>
    <font>
      <b/>
      <sz val="8"/>
      <name val="Swis721 Lt BT"/>
      <family val="2"/>
    </font>
    <font>
      <b/>
      <sz val="11"/>
      <name val="Swis721 Ex BT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Swis721 Lt BT"/>
      <family val="2"/>
    </font>
    <font>
      <sz val="9"/>
      <color indexed="12"/>
      <name val="Swis721 Lt BT"/>
      <family val="2"/>
    </font>
    <font>
      <sz val="9"/>
      <color indexed="8"/>
      <name val="Arial"/>
      <family val="2"/>
    </font>
    <font>
      <sz val="10"/>
      <color indexed="10"/>
      <name val="Swis721 Lt BT"/>
      <family val="2"/>
    </font>
    <font>
      <b/>
      <sz val="10"/>
      <color indexed="16"/>
      <name val="BankGothic Lt BT"/>
      <family val="2"/>
    </font>
    <font>
      <sz val="10"/>
      <color indexed="18"/>
      <name val="BankGothic Lt BT"/>
      <family val="2"/>
    </font>
    <font>
      <b/>
      <sz val="10"/>
      <color indexed="18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i/>
      <sz val="10"/>
      <name val="Century Gothic"/>
      <family val="2"/>
    </font>
    <font>
      <b/>
      <sz val="10"/>
      <color indexed="18"/>
      <name val="BankGothic Md BT"/>
      <family val="2"/>
    </font>
    <font>
      <sz val="10"/>
      <color indexed="16"/>
      <name val="Century Gothic"/>
      <family val="2"/>
    </font>
    <font>
      <b/>
      <sz val="10"/>
      <color indexed="16"/>
      <name val="Century Gothic"/>
      <family val="2"/>
    </font>
    <font>
      <sz val="10"/>
      <color indexed="17"/>
      <name val="Century Gothic"/>
      <family val="2"/>
    </font>
    <font>
      <i/>
      <sz val="10"/>
      <name val="Century Gothic"/>
      <family val="2"/>
    </font>
    <font>
      <b/>
      <sz val="10"/>
      <color indexed="17"/>
      <name val="Century Gothic"/>
      <family val="2"/>
    </font>
    <font>
      <b/>
      <sz val="10"/>
      <color indexed="16"/>
      <name val="BankGothic Md BT"/>
      <family val="2"/>
    </font>
    <font>
      <b/>
      <sz val="10"/>
      <color indexed="17"/>
      <name val="Swis721 Ex BT"/>
      <family val="2"/>
    </font>
    <font>
      <b/>
      <sz val="10"/>
      <color indexed="18"/>
      <name val="Century Gothic"/>
      <family val="2"/>
    </font>
    <font>
      <b/>
      <i/>
      <sz val="10"/>
      <color indexed="18"/>
      <name val="Century Gothic"/>
      <family val="2"/>
    </font>
    <font>
      <sz val="12"/>
      <name val="Century Gothic"/>
      <family val="2"/>
    </font>
    <font>
      <b/>
      <i/>
      <sz val="10"/>
      <color indexed="8"/>
      <name val="Century Gothic"/>
      <family val="2"/>
    </font>
    <font>
      <sz val="10"/>
      <color indexed="10"/>
      <name val="Century Gothic"/>
      <family val="2"/>
    </font>
    <font>
      <sz val="10"/>
      <color indexed="18"/>
      <name val="Swis721 Lt BT"/>
      <family val="2"/>
    </font>
    <font>
      <b/>
      <sz val="10"/>
      <color indexed="18"/>
      <name val="Swis721 Lt BT"/>
      <family val="2"/>
    </font>
    <font>
      <b/>
      <i/>
      <sz val="10"/>
      <color indexed="18"/>
      <name val="Swis721 Lt BT"/>
      <family val="2"/>
    </font>
    <font>
      <sz val="10"/>
      <color indexed="17"/>
      <name val="Swis721 Lt BT"/>
      <family val="2"/>
    </font>
    <font>
      <b/>
      <sz val="9"/>
      <color indexed="16"/>
      <name val="BankGothic Md BT"/>
      <family val="2"/>
    </font>
    <font>
      <sz val="9"/>
      <color indexed="18"/>
      <name val="BankGothic Md BT"/>
      <family val="2"/>
    </font>
    <font>
      <sz val="9"/>
      <name val="Century Gothic"/>
      <family val="2"/>
    </font>
    <font>
      <vertAlign val="superscript"/>
      <sz val="9"/>
      <name val="Century Gothic"/>
      <family val="2"/>
    </font>
    <font>
      <sz val="9"/>
      <color indexed="16"/>
      <name val="Century Gothic"/>
      <family val="2"/>
    </font>
    <font>
      <sz val="9"/>
      <color indexed="17"/>
      <name val="Century Gothic"/>
      <family val="2"/>
    </font>
    <font>
      <b/>
      <i/>
      <sz val="9"/>
      <color indexed="18"/>
      <name val="Century Gothic"/>
      <family val="2"/>
    </font>
    <font>
      <b/>
      <sz val="9"/>
      <color indexed="16"/>
      <name val="Swis721 Lt BT"/>
      <family val="2"/>
    </font>
    <font>
      <b/>
      <sz val="9"/>
      <color indexed="16"/>
      <name val="Century Gothic"/>
      <family val="2"/>
    </font>
    <font>
      <b/>
      <sz val="10"/>
      <color indexed="16"/>
      <name val="Arial"/>
      <family val="2"/>
    </font>
    <font>
      <b/>
      <sz val="10"/>
      <color indexed="17"/>
      <name val="Swis721 Lt BT"/>
      <family val="2"/>
    </font>
    <font>
      <b/>
      <sz val="8"/>
      <color indexed="18"/>
      <name val="Century Gothic"/>
      <family val="2"/>
    </font>
    <font>
      <b/>
      <sz val="7"/>
      <name val="Swis721 Lt BT"/>
      <family val="2"/>
    </font>
    <font>
      <b/>
      <sz val="8"/>
      <color indexed="16"/>
      <name val="Swis721 Lt BT"/>
      <family val="2"/>
    </font>
    <font>
      <b/>
      <sz val="11"/>
      <color indexed="16"/>
      <name val="BankGothic Md BT"/>
      <family val="2"/>
    </font>
    <font>
      <b/>
      <sz val="11"/>
      <color indexed="17"/>
      <name val="Swis721 Lt BT"/>
      <family val="2"/>
    </font>
    <font>
      <sz val="10"/>
      <color indexed="16"/>
      <name val="Swis721 Lt BT"/>
      <family val="2"/>
    </font>
    <font>
      <b/>
      <i/>
      <sz val="10"/>
      <color indexed="17"/>
      <name val="Swis721 Lt BT"/>
      <family val="2"/>
    </font>
    <font>
      <b/>
      <sz val="10"/>
      <color indexed="16"/>
      <name val="Swis721 Lt BT"/>
      <family val="2"/>
    </font>
    <font>
      <sz val="19.25"/>
      <color indexed="8"/>
      <name val="Swis721 Lt BT"/>
      <family val="0"/>
    </font>
    <font>
      <sz val="8"/>
      <color indexed="8"/>
      <name val="Swis721 Lt BT"/>
      <family val="0"/>
    </font>
    <font>
      <sz val="7.35"/>
      <color indexed="8"/>
      <name val="Swis721 Lt BT"/>
      <family val="0"/>
    </font>
    <font>
      <sz val="14.75"/>
      <color indexed="8"/>
      <name val="Swis721 Lt BT"/>
      <family val="0"/>
    </font>
    <font>
      <sz val="19.5"/>
      <color indexed="8"/>
      <name val="Swis721 Lt BT"/>
      <family val="0"/>
    </font>
    <font>
      <sz val="10.75"/>
      <color indexed="8"/>
      <name val="Arial"/>
      <family val="0"/>
    </font>
    <font>
      <sz val="9"/>
      <color indexed="8"/>
      <name val="Century Gothic"/>
      <family val="0"/>
    </font>
    <font>
      <sz val="8"/>
      <color indexed="8"/>
      <name val="Century Gothic"/>
      <family val="0"/>
    </font>
    <font>
      <sz val="10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.75"/>
      <color indexed="8"/>
      <name val="Arial"/>
      <family val="0"/>
    </font>
    <font>
      <b/>
      <u val="single"/>
      <sz val="10.75"/>
      <color indexed="16"/>
      <name val="BankGothic Md BT"/>
      <family val="0"/>
    </font>
    <font>
      <b/>
      <sz val="10.5"/>
      <color indexed="8"/>
      <name val="Arial"/>
      <family val="0"/>
    </font>
    <font>
      <b/>
      <u val="single"/>
      <sz val="10.5"/>
      <color indexed="16"/>
      <name val="BankGothic Md BT"/>
      <family val="0"/>
    </font>
    <font>
      <b/>
      <sz val="8"/>
      <color indexed="8"/>
      <name val="Swis721 Ex BT"/>
      <family val="0"/>
    </font>
    <font>
      <b/>
      <u val="single"/>
      <sz val="9.75"/>
      <color indexed="16"/>
      <name val="BankGothic Md BT"/>
      <family val="0"/>
    </font>
    <font>
      <b/>
      <sz val="8"/>
      <color indexed="8"/>
      <name val="Swis721 Lt BT"/>
      <family val="0"/>
    </font>
    <font>
      <sz val="10"/>
      <color indexed="8"/>
      <name val="Swis721 Lt BT"/>
      <family val="0"/>
    </font>
    <font>
      <b/>
      <u val="single"/>
      <sz val="9.5"/>
      <color indexed="16"/>
      <name val="BankGothic Md BT"/>
      <family val="0"/>
    </font>
    <font>
      <b/>
      <sz val="9.5"/>
      <color indexed="8"/>
      <name val="Swis721 Ex 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 style="thick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 style="medium"/>
      <top style="hair"/>
      <bottom style="double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hair"/>
      <bottom style="double"/>
    </border>
    <border>
      <left style="thin"/>
      <right style="thin"/>
      <top style="hair"/>
      <bottom style="double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double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hair"/>
      <bottom style="double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double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medium"/>
      <top style="thin"/>
      <bottom style="double"/>
    </border>
    <border>
      <left style="thin"/>
      <right style="thin"/>
      <top style="double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double"/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thin"/>
      <bottom style="double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6" fillId="2" borderId="0" applyNumberFormat="0" applyBorder="0" applyAlignment="0" applyProtection="0"/>
    <xf numFmtId="0" fontId="106" fillId="3" borderId="0" applyNumberFormat="0" applyBorder="0" applyAlignment="0" applyProtection="0"/>
    <xf numFmtId="0" fontId="106" fillId="4" borderId="0" applyNumberFormat="0" applyBorder="0" applyAlignment="0" applyProtection="0"/>
    <xf numFmtId="0" fontId="106" fillId="5" borderId="0" applyNumberFormat="0" applyBorder="0" applyAlignment="0" applyProtection="0"/>
    <xf numFmtId="0" fontId="106" fillId="6" borderId="0" applyNumberFormat="0" applyBorder="0" applyAlignment="0" applyProtection="0"/>
    <xf numFmtId="0" fontId="106" fillId="7" borderId="0" applyNumberFormat="0" applyBorder="0" applyAlignment="0" applyProtection="0"/>
    <xf numFmtId="0" fontId="106" fillId="8" borderId="0" applyNumberFormat="0" applyBorder="0" applyAlignment="0" applyProtection="0"/>
    <xf numFmtId="0" fontId="106" fillId="9" borderId="0" applyNumberFormat="0" applyBorder="0" applyAlignment="0" applyProtection="0"/>
    <xf numFmtId="0" fontId="106" fillId="10" borderId="0" applyNumberFormat="0" applyBorder="0" applyAlignment="0" applyProtection="0"/>
    <xf numFmtId="0" fontId="106" fillId="11" borderId="0" applyNumberFormat="0" applyBorder="0" applyAlignment="0" applyProtection="0"/>
    <xf numFmtId="0" fontId="106" fillId="12" borderId="0" applyNumberFormat="0" applyBorder="0" applyAlignment="0" applyProtection="0"/>
    <xf numFmtId="0" fontId="106" fillId="13" borderId="0" applyNumberFormat="0" applyBorder="0" applyAlignment="0" applyProtection="0"/>
    <xf numFmtId="0" fontId="107" fillId="14" borderId="0" applyNumberFormat="0" applyBorder="0" applyAlignment="0" applyProtection="0"/>
    <xf numFmtId="0" fontId="107" fillId="15" borderId="0" applyNumberFormat="0" applyBorder="0" applyAlignment="0" applyProtection="0"/>
    <xf numFmtId="0" fontId="107" fillId="16" borderId="0" applyNumberFormat="0" applyBorder="0" applyAlignment="0" applyProtection="0"/>
    <xf numFmtId="0" fontId="107" fillId="17" borderId="0" applyNumberFormat="0" applyBorder="0" applyAlignment="0" applyProtection="0"/>
    <xf numFmtId="0" fontId="107" fillId="18" borderId="0" applyNumberFormat="0" applyBorder="0" applyAlignment="0" applyProtection="0"/>
    <xf numFmtId="0" fontId="107" fillId="19" borderId="0" applyNumberFormat="0" applyBorder="0" applyAlignment="0" applyProtection="0"/>
    <xf numFmtId="0" fontId="108" fillId="20" borderId="0" applyNumberFormat="0" applyBorder="0" applyAlignment="0" applyProtection="0"/>
    <xf numFmtId="0" fontId="109" fillId="21" borderId="1" applyNumberFormat="0" applyAlignment="0" applyProtection="0"/>
    <xf numFmtId="0" fontId="110" fillId="22" borderId="2" applyNumberFormat="0" applyAlignment="0" applyProtection="0"/>
    <xf numFmtId="0" fontId="111" fillId="0" borderId="3" applyNumberFormat="0" applyFill="0" applyAlignment="0" applyProtection="0"/>
    <xf numFmtId="0" fontId="112" fillId="0" borderId="0" applyNumberFormat="0" applyFill="0" applyBorder="0" applyAlignment="0" applyProtection="0"/>
    <xf numFmtId="0" fontId="107" fillId="23" borderId="0" applyNumberFormat="0" applyBorder="0" applyAlignment="0" applyProtection="0"/>
    <xf numFmtId="0" fontId="107" fillId="24" borderId="0" applyNumberFormat="0" applyBorder="0" applyAlignment="0" applyProtection="0"/>
    <xf numFmtId="0" fontId="107" fillId="25" borderId="0" applyNumberFormat="0" applyBorder="0" applyAlignment="0" applyProtection="0"/>
    <xf numFmtId="0" fontId="107" fillId="26" borderId="0" applyNumberFormat="0" applyBorder="0" applyAlignment="0" applyProtection="0"/>
    <xf numFmtId="0" fontId="107" fillId="27" borderId="0" applyNumberFormat="0" applyBorder="0" applyAlignment="0" applyProtection="0"/>
    <xf numFmtId="0" fontId="107" fillId="28" borderId="0" applyNumberFormat="0" applyBorder="0" applyAlignment="0" applyProtection="0"/>
    <xf numFmtId="0" fontId="11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1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16" fillId="21" borderId="5" applyNumberFormat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6" applyNumberFormat="0" applyFill="0" applyAlignment="0" applyProtection="0"/>
    <xf numFmtId="0" fontId="121" fillId="0" borderId="7" applyNumberFormat="0" applyFill="0" applyAlignment="0" applyProtection="0"/>
    <xf numFmtId="0" fontId="112" fillId="0" borderId="8" applyNumberFormat="0" applyFill="0" applyAlignment="0" applyProtection="0"/>
    <xf numFmtId="0" fontId="122" fillId="0" borderId="9" applyNumberFormat="0" applyFill="0" applyAlignment="0" applyProtection="0"/>
  </cellStyleXfs>
  <cellXfs count="75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2" fontId="5" fillId="0" borderId="0" xfId="0" applyNumberFormat="1" applyFont="1" applyBorder="1" applyAlignment="1" quotePrefix="1">
      <alignment horizontal="center"/>
    </xf>
    <xf numFmtId="2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1" fontId="5" fillId="0" borderId="0" xfId="0" applyNumberFormat="1" applyFont="1" applyAlignment="1">
      <alignment/>
    </xf>
    <xf numFmtId="16" fontId="5" fillId="0" borderId="0" xfId="0" applyNumberFormat="1" applyFont="1" applyBorder="1" applyAlignment="1">
      <alignment horizontal="center"/>
    </xf>
    <xf numFmtId="0" fontId="9" fillId="0" borderId="0" xfId="0" applyFont="1" applyBorder="1" applyAlignment="1" quotePrefix="1">
      <alignment horizontal="center"/>
    </xf>
    <xf numFmtId="2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5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174" fontId="16" fillId="0" borderId="0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2" fontId="5" fillId="0" borderId="17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2" fontId="5" fillId="0" borderId="20" xfId="0" applyNumberFormat="1" applyFont="1" applyBorder="1" applyAlignment="1">
      <alignment/>
    </xf>
    <xf numFmtId="0" fontId="5" fillId="0" borderId="21" xfId="0" applyFont="1" applyBorder="1" applyAlignment="1">
      <alignment/>
    </xf>
    <xf numFmtId="2" fontId="5" fillId="0" borderId="22" xfId="0" applyNumberFormat="1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20" xfId="0" applyFont="1" applyBorder="1" applyAlignment="1">
      <alignment/>
    </xf>
    <xf numFmtId="175" fontId="11" fillId="0" borderId="0" xfId="0" applyNumberFormat="1" applyFont="1" applyBorder="1" applyAlignment="1">
      <alignment horizontal="center"/>
    </xf>
    <xf numFmtId="0" fontId="11" fillId="0" borderId="21" xfId="0" applyFont="1" applyBorder="1" applyAlignment="1">
      <alignment/>
    </xf>
    <xf numFmtId="175" fontId="5" fillId="0" borderId="0" xfId="0" applyNumberFormat="1" applyFont="1" applyBorder="1" applyAlignment="1">
      <alignment horizontal="center"/>
    </xf>
    <xf numFmtId="174" fontId="5" fillId="0" borderId="21" xfId="0" applyNumberFormat="1" applyFont="1" applyBorder="1" applyAlignment="1">
      <alignment/>
    </xf>
    <xf numFmtId="0" fontId="5" fillId="0" borderId="22" xfId="0" applyFont="1" applyBorder="1" applyAlignment="1">
      <alignment/>
    </xf>
    <xf numFmtId="175" fontId="11" fillId="0" borderId="23" xfId="0" applyNumberFormat="1" applyFont="1" applyBorder="1" applyAlignment="1">
      <alignment horizontal="center"/>
    </xf>
    <xf numFmtId="0" fontId="11" fillId="0" borderId="24" xfId="0" applyFont="1" applyBorder="1" applyAlignment="1">
      <alignment/>
    </xf>
    <xf numFmtId="175" fontId="5" fillId="0" borderId="20" xfId="0" applyNumberFormat="1" applyFont="1" applyBorder="1" applyAlignment="1">
      <alignment/>
    </xf>
    <xf numFmtId="175" fontId="5" fillId="0" borderId="22" xfId="0" applyNumberFormat="1" applyFont="1" applyBorder="1" applyAlignment="1">
      <alignment/>
    </xf>
    <xf numFmtId="174" fontId="5" fillId="0" borderId="24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2" fontId="14" fillId="0" borderId="0" xfId="0" applyNumberFormat="1" applyFont="1" applyBorder="1" applyAlignment="1">
      <alignment horizontal="center"/>
    </xf>
    <xf numFmtId="174" fontId="18" fillId="0" borderId="0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14" fontId="16" fillId="0" borderId="0" xfId="0" applyNumberFormat="1" applyFont="1" applyBorder="1" applyAlignment="1">
      <alignment horizontal="center"/>
    </xf>
    <xf numFmtId="20" fontId="16" fillId="0" borderId="0" xfId="0" applyNumberFormat="1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2" fontId="16" fillId="0" borderId="25" xfId="0" applyNumberFormat="1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27" xfId="0" applyFont="1" applyBorder="1" applyAlignment="1">
      <alignment/>
    </xf>
    <xf numFmtId="0" fontId="8" fillId="0" borderId="0" xfId="0" applyFont="1" applyBorder="1" applyAlignment="1">
      <alignment/>
    </xf>
    <xf numFmtId="16" fontId="5" fillId="0" borderId="27" xfId="0" applyNumberFormat="1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0" fillId="0" borderId="26" xfId="0" applyFont="1" applyBorder="1" applyAlignment="1">
      <alignment/>
    </xf>
    <xf numFmtId="0" fontId="5" fillId="0" borderId="26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27" xfId="0" applyFont="1" applyBorder="1" applyAlignment="1">
      <alignment horizontal="right"/>
    </xf>
    <xf numFmtId="0" fontId="5" fillId="0" borderId="27" xfId="0" applyFont="1" applyBorder="1" applyAlignment="1" quotePrefix="1">
      <alignment horizontal="center"/>
    </xf>
    <xf numFmtId="0" fontId="7" fillId="0" borderId="0" xfId="0" applyFont="1" applyBorder="1" applyAlignment="1">
      <alignment/>
    </xf>
    <xf numFmtId="2" fontId="5" fillId="0" borderId="27" xfId="0" applyNumberFormat="1" applyFont="1" applyBorder="1" applyAlignment="1">
      <alignment/>
    </xf>
    <xf numFmtId="2" fontId="0" fillId="0" borderId="27" xfId="0" applyNumberFormat="1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28" xfId="0" applyFont="1" applyBorder="1" applyAlignment="1">
      <alignment horizontal="center"/>
    </xf>
    <xf numFmtId="0" fontId="16" fillId="0" borderId="0" xfId="0" applyFont="1" applyAlignment="1">
      <alignment/>
    </xf>
    <xf numFmtId="2" fontId="22" fillId="0" borderId="0" xfId="0" applyNumberFormat="1" applyFont="1" applyAlignment="1">
      <alignment/>
    </xf>
    <xf numFmtId="0" fontId="25" fillId="0" borderId="0" xfId="0" applyFont="1" applyAlignment="1">
      <alignment/>
    </xf>
    <xf numFmtId="1" fontId="16" fillId="0" borderId="0" xfId="0" applyNumberFormat="1" applyFont="1" applyAlignment="1">
      <alignment/>
    </xf>
    <xf numFmtId="0" fontId="22" fillId="0" borderId="26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27" xfId="0" applyFont="1" applyBorder="1" applyAlignment="1">
      <alignment/>
    </xf>
    <xf numFmtId="0" fontId="16" fillId="0" borderId="26" xfId="0" applyFont="1" applyBorder="1" applyAlignment="1">
      <alignment/>
    </xf>
    <xf numFmtId="0" fontId="16" fillId="0" borderId="27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6" xfId="0" applyFont="1" applyBorder="1" applyAlignment="1">
      <alignment/>
    </xf>
    <xf numFmtId="0" fontId="24" fillId="0" borderId="0" xfId="0" applyFont="1" applyBorder="1" applyAlignment="1">
      <alignment/>
    </xf>
    <xf numFmtId="0" fontId="16" fillId="0" borderId="29" xfId="0" applyFont="1" applyBorder="1" applyAlignment="1">
      <alignment horizontal="center"/>
    </xf>
    <xf numFmtId="174" fontId="16" fillId="0" borderId="29" xfId="0" applyNumberFormat="1" applyFont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174" fontId="16" fillId="33" borderId="0" xfId="0" applyNumberFormat="1" applyFont="1" applyFill="1" applyBorder="1" applyAlignment="1">
      <alignment horizontal="center"/>
    </xf>
    <xf numFmtId="2" fontId="16" fillId="33" borderId="0" xfId="0" applyNumberFormat="1" applyFont="1" applyFill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5" fillId="0" borderId="26" xfId="0" applyFont="1" applyBorder="1" applyAlignment="1">
      <alignment/>
    </xf>
    <xf numFmtId="0" fontId="15" fillId="0" borderId="27" xfId="0" applyFont="1" applyBorder="1" applyAlignment="1">
      <alignment/>
    </xf>
    <xf numFmtId="14" fontId="16" fillId="0" borderId="26" xfId="0" applyNumberFormat="1" applyFont="1" applyBorder="1" applyAlignment="1">
      <alignment horizontal="center"/>
    </xf>
    <xf numFmtId="2" fontId="16" fillId="0" borderId="27" xfId="0" applyNumberFormat="1" applyFont="1" applyBorder="1" applyAlignment="1">
      <alignment horizontal="center"/>
    </xf>
    <xf numFmtId="175" fontId="16" fillId="0" borderId="15" xfId="0" applyNumberFormat="1" applyFont="1" applyBorder="1" applyAlignment="1">
      <alignment horizontal="center"/>
    </xf>
    <xf numFmtId="174" fontId="16" fillId="0" borderId="13" xfId="0" applyNumberFormat="1" applyFont="1" applyBorder="1" applyAlignment="1">
      <alignment horizontal="center"/>
    </xf>
    <xf numFmtId="2" fontId="16" fillId="0" borderId="13" xfId="0" applyNumberFormat="1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2" fontId="5" fillId="0" borderId="26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2" fontId="5" fillId="0" borderId="16" xfId="0" applyNumberFormat="1" applyFont="1" applyBorder="1" applyAlignment="1">
      <alignment/>
    </xf>
    <xf numFmtId="0" fontId="19" fillId="0" borderId="26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2" fontId="5" fillId="0" borderId="15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6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13" fillId="0" borderId="0" xfId="0" applyFont="1" applyFill="1" applyBorder="1" applyAlignment="1">
      <alignment/>
    </xf>
    <xf numFmtId="1" fontId="0" fillId="0" borderId="27" xfId="0" applyNumberFormat="1" applyBorder="1" applyAlignment="1">
      <alignment/>
    </xf>
    <xf numFmtId="0" fontId="26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1" fontId="16" fillId="0" borderId="0" xfId="0" applyNumberFormat="1" applyFont="1" applyFill="1" applyBorder="1" applyAlignment="1">
      <alignment horizontal="center"/>
    </xf>
    <xf numFmtId="174" fontId="16" fillId="0" borderId="0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6" fillId="33" borderId="0" xfId="0" applyFont="1" applyFill="1" applyAlignment="1">
      <alignment/>
    </xf>
    <xf numFmtId="0" fontId="22" fillId="33" borderId="0" xfId="0" applyFont="1" applyFill="1" applyAlignment="1">
      <alignment/>
    </xf>
    <xf numFmtId="174" fontId="16" fillId="0" borderId="14" xfId="0" applyNumberFormat="1" applyFont="1" applyBorder="1" applyAlignment="1">
      <alignment horizontal="center"/>
    </xf>
    <xf numFmtId="2" fontId="16" fillId="0" borderId="14" xfId="0" applyNumberFormat="1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175" fontId="16" fillId="0" borderId="26" xfId="0" applyNumberFormat="1" applyFont="1" applyBorder="1" applyAlignment="1">
      <alignment horizontal="center"/>
    </xf>
    <xf numFmtId="175" fontId="16" fillId="0" borderId="0" xfId="0" applyNumberFormat="1" applyFont="1" applyBorder="1" applyAlignment="1">
      <alignment horizontal="center"/>
    </xf>
    <xf numFmtId="175" fontId="16" fillId="0" borderId="27" xfId="0" applyNumberFormat="1" applyFont="1" applyBorder="1" applyAlignment="1">
      <alignment horizontal="center"/>
    </xf>
    <xf numFmtId="174" fontId="5" fillId="34" borderId="21" xfId="0" applyNumberFormat="1" applyFont="1" applyFill="1" applyBorder="1" applyAlignment="1">
      <alignment/>
    </xf>
    <xf numFmtId="3" fontId="5" fillId="34" borderId="0" xfId="0" applyNumberFormat="1" applyFont="1" applyFill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21" fillId="0" borderId="21" xfId="0" applyFont="1" applyBorder="1" applyAlignment="1">
      <alignment horizontal="center"/>
    </xf>
    <xf numFmtId="2" fontId="0" fillId="0" borderId="13" xfId="0" applyNumberFormat="1" applyBorder="1" applyAlignment="1">
      <alignment/>
    </xf>
    <xf numFmtId="175" fontId="16" fillId="0" borderId="30" xfId="0" applyNumberFormat="1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29" fillId="35" borderId="32" xfId="0" applyFont="1" applyFill="1" applyBorder="1" applyAlignment="1">
      <alignment horizontal="center"/>
    </xf>
    <xf numFmtId="0" fontId="29" fillId="35" borderId="33" xfId="0" applyFont="1" applyFill="1" applyBorder="1" applyAlignment="1">
      <alignment horizontal="center"/>
    </xf>
    <xf numFmtId="0" fontId="29" fillId="35" borderId="34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31" fillId="0" borderId="10" xfId="0" applyFont="1" applyBorder="1" applyAlignment="1">
      <alignment/>
    </xf>
    <xf numFmtId="0" fontId="31" fillId="0" borderId="11" xfId="0" applyFont="1" applyBorder="1" applyAlignment="1">
      <alignment/>
    </xf>
    <xf numFmtId="0" fontId="31" fillId="0" borderId="37" xfId="0" applyFont="1" applyBorder="1" applyAlignment="1">
      <alignment/>
    </xf>
    <xf numFmtId="0" fontId="31" fillId="0" borderId="38" xfId="0" applyFont="1" applyBorder="1" applyAlignment="1">
      <alignment horizontal="center"/>
    </xf>
    <xf numFmtId="0" fontId="31" fillId="0" borderId="38" xfId="0" applyFont="1" applyBorder="1" applyAlignment="1">
      <alignment/>
    </xf>
    <xf numFmtId="0" fontId="31" fillId="0" borderId="39" xfId="0" applyFont="1" applyBorder="1" applyAlignment="1">
      <alignment/>
    </xf>
    <xf numFmtId="0" fontId="31" fillId="0" borderId="39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33" borderId="22" xfId="0" applyFont="1" applyFill="1" applyBorder="1" applyAlignment="1">
      <alignment horizontal="center"/>
    </xf>
    <xf numFmtId="0" fontId="33" fillId="36" borderId="40" xfId="0" applyFont="1" applyFill="1" applyBorder="1" applyAlignment="1">
      <alignment horizontal="center"/>
    </xf>
    <xf numFmtId="0" fontId="31" fillId="33" borderId="20" xfId="0" applyFont="1" applyFill="1" applyBorder="1" applyAlignment="1">
      <alignment horizontal="center"/>
    </xf>
    <xf numFmtId="2" fontId="33" fillId="36" borderId="41" xfId="0" applyNumberFormat="1" applyFont="1" applyFill="1" applyBorder="1" applyAlignment="1">
      <alignment horizontal="center"/>
    </xf>
    <xf numFmtId="0" fontId="31" fillId="33" borderId="17" xfId="0" applyFont="1" applyFill="1" applyBorder="1" applyAlignment="1">
      <alignment horizontal="center"/>
    </xf>
    <xf numFmtId="0" fontId="31" fillId="0" borderId="22" xfId="0" applyFont="1" applyBorder="1" applyAlignment="1">
      <alignment/>
    </xf>
    <xf numFmtId="2" fontId="33" fillId="36" borderId="40" xfId="0" applyNumberFormat="1" applyFont="1" applyFill="1" applyBorder="1" applyAlignment="1">
      <alignment horizontal="center"/>
    </xf>
    <xf numFmtId="0" fontId="31" fillId="33" borderId="42" xfId="0" applyFont="1" applyFill="1" applyBorder="1" applyAlignment="1">
      <alignment horizontal="center"/>
    </xf>
    <xf numFmtId="0" fontId="31" fillId="0" borderId="43" xfId="0" applyFont="1" applyBorder="1" applyAlignment="1">
      <alignment/>
    </xf>
    <xf numFmtId="174" fontId="33" fillId="36" borderId="40" xfId="0" applyNumberFormat="1" applyFont="1" applyFill="1" applyBorder="1" applyAlignment="1">
      <alignment horizontal="center"/>
    </xf>
    <xf numFmtId="0" fontId="31" fillId="0" borderId="42" xfId="0" applyFont="1" applyBorder="1" applyAlignment="1">
      <alignment horizontal="center"/>
    </xf>
    <xf numFmtId="0" fontId="31" fillId="33" borderId="43" xfId="0" applyFont="1" applyFill="1" applyBorder="1" applyAlignment="1">
      <alignment horizontal="center"/>
    </xf>
    <xf numFmtId="0" fontId="31" fillId="0" borderId="44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/>
    </xf>
    <xf numFmtId="2" fontId="31" fillId="0" borderId="45" xfId="0" applyNumberFormat="1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6" fillId="34" borderId="50" xfId="0" applyFont="1" applyFill="1" applyBorder="1" applyAlignment="1">
      <alignment horizontal="center" vertical="center"/>
    </xf>
    <xf numFmtId="0" fontId="36" fillId="34" borderId="51" xfId="0" applyFont="1" applyFill="1" applyBorder="1" applyAlignment="1">
      <alignment horizontal="center" vertical="center"/>
    </xf>
    <xf numFmtId="0" fontId="36" fillId="34" borderId="41" xfId="0" applyFont="1" applyFill="1" applyBorder="1" applyAlignment="1">
      <alignment horizontal="center" vertical="center"/>
    </xf>
    <xf numFmtId="0" fontId="36" fillId="34" borderId="40" xfId="0" applyFont="1" applyFill="1" applyBorder="1" applyAlignment="1">
      <alignment horizontal="center" vertical="center"/>
    </xf>
    <xf numFmtId="0" fontId="36" fillId="34" borderId="16" xfId="0" applyFont="1" applyFill="1" applyBorder="1" applyAlignment="1">
      <alignment horizontal="center" vertical="center"/>
    </xf>
    <xf numFmtId="0" fontId="31" fillId="0" borderId="26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26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52" xfId="0" applyFont="1" applyBorder="1" applyAlignment="1">
      <alignment horizontal="center" vertical="center"/>
    </xf>
    <xf numFmtId="0" fontId="38" fillId="37" borderId="40" xfId="0" applyFont="1" applyFill="1" applyBorder="1" applyAlignment="1">
      <alignment horizontal="center" vertical="center"/>
    </xf>
    <xf numFmtId="174" fontId="38" fillId="37" borderId="53" xfId="0" applyNumberFormat="1" applyFont="1" applyFill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54" xfId="0" applyFont="1" applyBorder="1" applyAlignment="1">
      <alignment horizontal="center" vertical="center"/>
    </xf>
    <xf numFmtId="0" fontId="36" fillId="34" borderId="27" xfId="0" applyFont="1" applyFill="1" applyBorder="1" applyAlignment="1">
      <alignment horizontal="center" vertical="center"/>
    </xf>
    <xf numFmtId="0" fontId="31" fillId="0" borderId="55" xfId="0" applyFont="1" applyBorder="1" applyAlignment="1">
      <alignment horizontal="center" vertical="center"/>
    </xf>
    <xf numFmtId="2" fontId="31" fillId="0" borderId="56" xfId="0" applyNumberFormat="1" applyFont="1" applyBorder="1" applyAlignment="1">
      <alignment horizontal="center" vertical="center"/>
    </xf>
    <xf numFmtId="2" fontId="31" fillId="0" borderId="57" xfId="0" applyNumberFormat="1" applyFont="1" applyBorder="1" applyAlignment="1">
      <alignment horizontal="center" vertical="center"/>
    </xf>
    <xf numFmtId="174" fontId="31" fillId="0" borderId="58" xfId="0" applyNumberFormat="1" applyFont="1" applyBorder="1" applyAlignment="1">
      <alignment horizontal="center" vertical="center"/>
    </xf>
    <xf numFmtId="2" fontId="31" fillId="0" borderId="22" xfId="0" applyNumberFormat="1" applyFont="1" applyBorder="1" applyAlignment="1">
      <alignment horizontal="center" vertical="center"/>
    </xf>
    <xf numFmtId="2" fontId="31" fillId="0" borderId="38" xfId="0" applyNumberFormat="1" applyFont="1" applyBorder="1" applyAlignment="1">
      <alignment horizontal="center" vertical="center"/>
    </xf>
    <xf numFmtId="2" fontId="31" fillId="0" borderId="54" xfId="0" applyNumberFormat="1" applyFont="1" applyBorder="1" applyAlignment="1">
      <alignment horizontal="center" vertical="center"/>
    </xf>
    <xf numFmtId="2" fontId="31" fillId="0" borderId="55" xfId="0" applyNumberFormat="1" applyFont="1" applyBorder="1" applyAlignment="1">
      <alignment horizontal="center" vertical="center"/>
    </xf>
    <xf numFmtId="2" fontId="31" fillId="0" borderId="39" xfId="0" applyNumberFormat="1" applyFont="1" applyBorder="1" applyAlignment="1">
      <alignment/>
    </xf>
    <xf numFmtId="0" fontId="31" fillId="0" borderId="59" xfId="0" applyFont="1" applyBorder="1" applyAlignment="1">
      <alignment/>
    </xf>
    <xf numFmtId="0" fontId="31" fillId="0" borderId="60" xfId="0" applyFont="1" applyBorder="1" applyAlignment="1">
      <alignment/>
    </xf>
    <xf numFmtId="0" fontId="31" fillId="0" borderId="61" xfId="0" applyFont="1" applyBorder="1" applyAlignment="1">
      <alignment/>
    </xf>
    <xf numFmtId="0" fontId="31" fillId="0" borderId="62" xfId="0" applyFont="1" applyBorder="1" applyAlignment="1">
      <alignment/>
    </xf>
    <xf numFmtId="0" fontId="31" fillId="0" borderId="62" xfId="0" applyFont="1" applyBorder="1" applyAlignment="1">
      <alignment horizontal="center"/>
    </xf>
    <xf numFmtId="2" fontId="31" fillId="0" borderId="39" xfId="0" applyNumberFormat="1" applyFont="1" applyBorder="1" applyAlignment="1">
      <alignment horizontal="center"/>
    </xf>
    <xf numFmtId="0" fontId="31" fillId="0" borderId="43" xfId="0" applyFont="1" applyBorder="1" applyAlignment="1">
      <alignment horizontal="center"/>
    </xf>
    <xf numFmtId="0" fontId="32" fillId="36" borderId="40" xfId="0" applyFont="1" applyFill="1" applyBorder="1" applyAlignment="1">
      <alignment horizontal="center"/>
    </xf>
    <xf numFmtId="0" fontId="31" fillId="0" borderId="63" xfId="0" applyFont="1" applyBorder="1" applyAlignment="1">
      <alignment horizontal="center"/>
    </xf>
    <xf numFmtId="2" fontId="32" fillId="36" borderId="41" xfId="0" applyNumberFormat="1" applyFont="1" applyFill="1" applyBorder="1" applyAlignment="1">
      <alignment horizontal="center"/>
    </xf>
    <xf numFmtId="2" fontId="32" fillId="36" borderId="40" xfId="0" applyNumberFormat="1" applyFont="1" applyFill="1" applyBorder="1" applyAlignment="1">
      <alignment horizontal="center"/>
    </xf>
    <xf numFmtId="2" fontId="31" fillId="0" borderId="43" xfId="0" applyNumberFormat="1" applyFont="1" applyBorder="1" applyAlignment="1">
      <alignment horizontal="center"/>
    </xf>
    <xf numFmtId="2" fontId="31" fillId="0" borderId="42" xfId="0" applyNumberFormat="1" applyFont="1" applyBorder="1" applyAlignment="1">
      <alignment horizontal="center"/>
    </xf>
    <xf numFmtId="0" fontId="31" fillId="0" borderId="46" xfId="0" applyFont="1" applyBorder="1" applyAlignment="1">
      <alignment horizontal="center"/>
    </xf>
    <xf numFmtId="0" fontId="31" fillId="0" borderId="47" xfId="0" applyFont="1" applyBorder="1" applyAlignment="1">
      <alignment horizontal="center"/>
    </xf>
    <xf numFmtId="2" fontId="31" fillId="0" borderId="47" xfId="0" applyNumberFormat="1" applyFont="1" applyBorder="1" applyAlignment="1">
      <alignment horizontal="center"/>
    </xf>
    <xf numFmtId="0" fontId="31" fillId="0" borderId="48" xfId="0" applyFont="1" applyBorder="1" applyAlignment="1">
      <alignment horizontal="center"/>
    </xf>
    <xf numFmtId="0" fontId="31" fillId="0" borderId="49" xfId="0" applyFont="1" applyBorder="1" applyAlignment="1">
      <alignment horizontal="center"/>
    </xf>
    <xf numFmtId="2" fontId="31" fillId="0" borderId="49" xfId="0" applyNumberFormat="1" applyFont="1" applyBorder="1" applyAlignment="1">
      <alignment horizontal="center"/>
    </xf>
    <xf numFmtId="2" fontId="31" fillId="0" borderId="62" xfId="0" applyNumberFormat="1" applyFont="1" applyBorder="1" applyAlignment="1">
      <alignment horizontal="center"/>
    </xf>
    <xf numFmtId="2" fontId="31" fillId="0" borderId="38" xfId="0" applyNumberFormat="1" applyFont="1" applyBorder="1" applyAlignment="1">
      <alignment horizontal="center"/>
    </xf>
    <xf numFmtId="2" fontId="31" fillId="0" borderId="54" xfId="0" applyNumberFormat="1" applyFont="1" applyBorder="1" applyAlignment="1">
      <alignment horizontal="center"/>
    </xf>
    <xf numFmtId="2" fontId="31" fillId="0" borderId="55" xfId="0" applyNumberFormat="1" applyFont="1" applyBorder="1" applyAlignment="1">
      <alignment horizontal="center"/>
    </xf>
    <xf numFmtId="2" fontId="31" fillId="0" borderId="56" xfId="0" applyNumberFormat="1" applyFont="1" applyBorder="1" applyAlignment="1">
      <alignment horizontal="center"/>
    </xf>
    <xf numFmtId="2" fontId="31" fillId="0" borderId="57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174" fontId="31" fillId="0" borderId="40" xfId="0" applyNumberFormat="1" applyFont="1" applyBorder="1" applyAlignment="1">
      <alignment horizontal="center"/>
    </xf>
    <xf numFmtId="0" fontId="31" fillId="37" borderId="40" xfId="0" applyFont="1" applyFill="1" applyBorder="1" applyAlignment="1">
      <alignment horizontal="center"/>
    </xf>
    <xf numFmtId="174" fontId="31" fillId="37" borderId="40" xfId="0" applyNumberFormat="1" applyFont="1" applyFill="1" applyBorder="1" applyAlignment="1">
      <alignment horizontal="center"/>
    </xf>
    <xf numFmtId="0" fontId="31" fillId="0" borderId="41" xfId="0" applyFont="1" applyBorder="1" applyAlignment="1">
      <alignment horizontal="center"/>
    </xf>
    <xf numFmtId="174" fontId="31" fillId="0" borderId="41" xfId="0" applyNumberFormat="1" applyFont="1" applyBorder="1" applyAlignment="1">
      <alignment horizontal="center"/>
    </xf>
    <xf numFmtId="0" fontId="31" fillId="0" borderId="54" xfId="0" applyFont="1" applyBorder="1" applyAlignment="1">
      <alignment horizontal="center"/>
    </xf>
    <xf numFmtId="0" fontId="31" fillId="0" borderId="55" xfId="0" applyFont="1" applyBorder="1" applyAlignment="1">
      <alignment horizontal="center"/>
    </xf>
    <xf numFmtId="2" fontId="31" fillId="0" borderId="10" xfId="0" applyNumberFormat="1" applyFont="1" applyBorder="1" applyAlignment="1">
      <alignment/>
    </xf>
    <xf numFmtId="2" fontId="31" fillId="0" borderId="11" xfId="0" applyNumberFormat="1" applyFont="1" applyBorder="1" applyAlignment="1">
      <alignment/>
    </xf>
    <xf numFmtId="2" fontId="31" fillId="0" borderId="37" xfId="0" applyNumberFormat="1" applyFont="1" applyBorder="1" applyAlignment="1">
      <alignment/>
    </xf>
    <xf numFmtId="2" fontId="33" fillId="36" borderId="39" xfId="0" applyNumberFormat="1" applyFont="1" applyFill="1" applyBorder="1" applyAlignment="1">
      <alignment horizontal="center"/>
    </xf>
    <xf numFmtId="2" fontId="31" fillId="0" borderId="41" xfId="0" applyNumberFormat="1" applyFont="1" applyBorder="1" applyAlignment="1">
      <alignment horizontal="center"/>
    </xf>
    <xf numFmtId="2" fontId="31" fillId="0" borderId="63" xfId="0" applyNumberFormat="1" applyFont="1" applyBorder="1" applyAlignment="1">
      <alignment horizontal="center"/>
    </xf>
    <xf numFmtId="2" fontId="31" fillId="0" borderId="43" xfId="0" applyNumberFormat="1" applyFont="1" applyBorder="1" applyAlignment="1">
      <alignment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horizontal="center"/>
    </xf>
    <xf numFmtId="0" fontId="31" fillId="0" borderId="64" xfId="0" applyFont="1" applyBorder="1" applyAlignment="1">
      <alignment/>
    </xf>
    <xf numFmtId="0" fontId="31" fillId="0" borderId="25" xfId="0" applyFont="1" applyBorder="1" applyAlignment="1">
      <alignment/>
    </xf>
    <xf numFmtId="0" fontId="31" fillId="0" borderId="65" xfId="0" applyFont="1" applyBorder="1" applyAlignment="1">
      <alignment/>
    </xf>
    <xf numFmtId="0" fontId="32" fillId="0" borderId="66" xfId="0" applyFont="1" applyBorder="1" applyAlignment="1">
      <alignment/>
    </xf>
    <xf numFmtId="0" fontId="31" fillId="0" borderId="67" xfId="0" applyFont="1" applyBorder="1" applyAlignment="1">
      <alignment horizontal="center"/>
    </xf>
    <xf numFmtId="0" fontId="31" fillId="0" borderId="68" xfId="0" applyFont="1" applyBorder="1" applyAlignment="1">
      <alignment horizontal="center"/>
    </xf>
    <xf numFmtId="2" fontId="31" fillId="0" borderId="69" xfId="0" applyNumberFormat="1" applyFont="1" applyBorder="1" applyAlignment="1">
      <alignment horizontal="center"/>
    </xf>
    <xf numFmtId="0" fontId="31" fillId="0" borderId="70" xfId="0" applyFont="1" applyBorder="1" applyAlignment="1">
      <alignment/>
    </xf>
    <xf numFmtId="0" fontId="31" fillId="0" borderId="71" xfId="0" applyFont="1" applyBorder="1" applyAlignment="1">
      <alignment/>
    </xf>
    <xf numFmtId="0" fontId="31" fillId="0" borderId="16" xfId="0" applyFont="1" applyBorder="1" applyAlignment="1">
      <alignment horizontal="center"/>
    </xf>
    <xf numFmtId="0" fontId="32" fillId="0" borderId="67" xfId="0" applyFont="1" applyBorder="1" applyAlignment="1">
      <alignment/>
    </xf>
    <xf numFmtId="0" fontId="31" fillId="0" borderId="68" xfId="0" applyFont="1" applyBorder="1" applyAlignment="1">
      <alignment/>
    </xf>
    <xf numFmtId="0" fontId="31" fillId="0" borderId="69" xfId="0" applyFont="1" applyBorder="1" applyAlignment="1">
      <alignment horizontal="center"/>
    </xf>
    <xf numFmtId="2" fontId="33" fillId="36" borderId="16" xfId="0" applyNumberFormat="1" applyFont="1" applyFill="1" applyBorder="1" applyAlignment="1">
      <alignment horizontal="center"/>
    </xf>
    <xf numFmtId="2" fontId="33" fillId="36" borderId="53" xfId="0" applyNumberFormat="1" applyFont="1" applyFill="1" applyBorder="1" applyAlignment="1">
      <alignment horizontal="center"/>
    </xf>
    <xf numFmtId="0" fontId="33" fillId="36" borderId="53" xfId="0" applyFont="1" applyFill="1" applyBorder="1" applyAlignment="1">
      <alignment horizontal="center"/>
    </xf>
    <xf numFmtId="0" fontId="31" fillId="0" borderId="72" xfId="0" applyFont="1" applyBorder="1" applyAlignment="1">
      <alignment/>
    </xf>
    <xf numFmtId="0" fontId="5" fillId="0" borderId="40" xfId="0" applyFont="1" applyBorder="1" applyAlignment="1">
      <alignment horizontal="center"/>
    </xf>
    <xf numFmtId="1" fontId="31" fillId="0" borderId="73" xfId="0" applyNumberFormat="1" applyFont="1" applyBorder="1" applyAlignment="1">
      <alignment horizontal="center"/>
    </xf>
    <xf numFmtId="2" fontId="31" fillId="0" borderId="35" xfId="0" applyNumberFormat="1" applyFont="1" applyBorder="1" applyAlignment="1">
      <alignment horizontal="center"/>
    </xf>
    <xf numFmtId="1" fontId="31" fillId="0" borderId="74" xfId="0" applyNumberFormat="1" applyFont="1" applyBorder="1" applyAlignment="1">
      <alignment horizontal="center"/>
    </xf>
    <xf numFmtId="2" fontId="31" fillId="0" borderId="75" xfId="0" applyNumberFormat="1" applyFont="1" applyBorder="1" applyAlignment="1">
      <alignment horizontal="center"/>
    </xf>
    <xf numFmtId="0" fontId="31" fillId="0" borderId="76" xfId="0" applyFont="1" applyBorder="1" applyAlignment="1">
      <alignment horizontal="center"/>
    </xf>
    <xf numFmtId="2" fontId="31" fillId="0" borderId="73" xfId="0" applyNumberFormat="1" applyFont="1" applyBorder="1" applyAlignment="1">
      <alignment horizontal="center"/>
    </xf>
    <xf numFmtId="1" fontId="31" fillId="0" borderId="35" xfId="0" applyNumberFormat="1" applyFont="1" applyBorder="1" applyAlignment="1">
      <alignment horizontal="center"/>
    </xf>
    <xf numFmtId="2" fontId="31" fillId="0" borderId="74" xfId="0" applyNumberFormat="1" applyFont="1" applyBorder="1" applyAlignment="1">
      <alignment horizontal="center"/>
    </xf>
    <xf numFmtId="1" fontId="31" fillId="0" borderId="75" xfId="0" applyNumberFormat="1" applyFont="1" applyBorder="1" applyAlignment="1">
      <alignment horizontal="center"/>
    </xf>
    <xf numFmtId="0" fontId="42" fillId="35" borderId="40" xfId="0" applyFont="1" applyFill="1" applyBorder="1" applyAlignment="1">
      <alignment horizontal="center"/>
    </xf>
    <xf numFmtId="0" fontId="42" fillId="35" borderId="53" xfId="0" applyFont="1" applyFill="1" applyBorder="1" applyAlignment="1">
      <alignment horizontal="center"/>
    </xf>
    <xf numFmtId="0" fontId="37" fillId="0" borderId="76" xfId="0" applyFont="1" applyBorder="1" applyAlignment="1">
      <alignment horizontal="center"/>
    </xf>
    <xf numFmtId="0" fontId="41" fillId="0" borderId="26" xfId="0" applyFont="1" applyBorder="1" applyAlignment="1">
      <alignment/>
    </xf>
    <xf numFmtId="0" fontId="31" fillId="0" borderId="66" xfId="0" applyFont="1" applyBorder="1" applyAlignment="1">
      <alignment/>
    </xf>
    <xf numFmtId="0" fontId="31" fillId="0" borderId="67" xfId="0" applyFont="1" applyBorder="1" applyAlignment="1">
      <alignment/>
    </xf>
    <xf numFmtId="0" fontId="31" fillId="0" borderId="50" xfId="0" applyFont="1" applyBorder="1" applyAlignment="1">
      <alignment horizontal="center"/>
    </xf>
    <xf numFmtId="0" fontId="31" fillId="0" borderId="51" xfId="0" applyFont="1" applyBorder="1" applyAlignment="1">
      <alignment horizontal="center"/>
    </xf>
    <xf numFmtId="0" fontId="31" fillId="0" borderId="77" xfId="0" applyFont="1" applyBorder="1" applyAlignment="1">
      <alignment horizontal="center"/>
    </xf>
    <xf numFmtId="2" fontId="31" fillId="0" borderId="68" xfId="0" applyNumberFormat="1" applyFont="1" applyBorder="1" applyAlignment="1">
      <alignment horizontal="center"/>
    </xf>
    <xf numFmtId="2" fontId="31" fillId="0" borderId="78" xfId="0" applyNumberFormat="1" applyFont="1" applyBorder="1" applyAlignment="1">
      <alignment horizontal="center"/>
    </xf>
    <xf numFmtId="2" fontId="31" fillId="0" borderId="72" xfId="0" applyNumberFormat="1" applyFont="1" applyBorder="1" applyAlignment="1">
      <alignment horizontal="center"/>
    </xf>
    <xf numFmtId="0" fontId="32" fillId="36" borderId="53" xfId="0" applyFont="1" applyFill="1" applyBorder="1" applyAlignment="1">
      <alignment horizontal="center"/>
    </xf>
    <xf numFmtId="2" fontId="32" fillId="36" borderId="16" xfId="0" applyNumberFormat="1" applyFont="1" applyFill="1" applyBorder="1" applyAlignment="1">
      <alignment horizontal="center"/>
    </xf>
    <xf numFmtId="0" fontId="41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26" xfId="0" applyFont="1" applyFill="1" applyBorder="1" applyAlignment="1">
      <alignment/>
    </xf>
    <xf numFmtId="2" fontId="43" fillId="0" borderId="0" xfId="0" applyNumberFormat="1" applyFont="1" applyBorder="1" applyAlignment="1">
      <alignment horizontal="center"/>
    </xf>
    <xf numFmtId="0" fontId="35" fillId="0" borderId="26" xfId="0" applyFont="1" applyBorder="1" applyAlignment="1">
      <alignment/>
    </xf>
    <xf numFmtId="0" fontId="31" fillId="0" borderId="30" xfId="0" applyFont="1" applyBorder="1" applyAlignment="1">
      <alignment/>
    </xf>
    <xf numFmtId="174" fontId="31" fillId="0" borderId="16" xfId="0" applyNumberFormat="1" applyFont="1" applyBorder="1" applyAlignment="1">
      <alignment horizontal="center"/>
    </xf>
    <xf numFmtId="0" fontId="31" fillId="0" borderId="16" xfId="0" applyFont="1" applyBorder="1" applyAlignment="1">
      <alignment/>
    </xf>
    <xf numFmtId="2" fontId="31" fillId="0" borderId="53" xfId="0" applyNumberFormat="1" applyFont="1" applyBorder="1" applyAlignment="1">
      <alignment horizontal="center"/>
    </xf>
    <xf numFmtId="0" fontId="42" fillId="35" borderId="41" xfId="0" applyFont="1" applyFill="1" applyBorder="1" applyAlignment="1">
      <alignment horizontal="center"/>
    </xf>
    <xf numFmtId="1" fontId="32" fillId="36" borderId="16" xfId="0" applyNumberFormat="1" applyFont="1" applyFill="1" applyBorder="1" applyAlignment="1">
      <alignment horizontal="center"/>
    </xf>
    <xf numFmtId="0" fontId="35" fillId="34" borderId="79" xfId="0" applyFont="1" applyFill="1" applyBorder="1" applyAlignment="1">
      <alignment horizontal="center"/>
    </xf>
    <xf numFmtId="0" fontId="35" fillId="34" borderId="46" xfId="0" applyFont="1" applyFill="1" applyBorder="1" applyAlignment="1">
      <alignment horizontal="center"/>
    </xf>
    <xf numFmtId="0" fontId="35" fillId="34" borderId="48" xfId="0" applyFont="1" applyFill="1" applyBorder="1" applyAlignment="1">
      <alignment horizontal="center"/>
    </xf>
    <xf numFmtId="174" fontId="43" fillId="35" borderId="80" xfId="0" applyNumberFormat="1" applyFont="1" applyFill="1" applyBorder="1" applyAlignment="1">
      <alignment horizontal="center"/>
    </xf>
    <xf numFmtId="174" fontId="43" fillId="35" borderId="39" xfId="0" applyNumberFormat="1" applyFont="1" applyFill="1" applyBorder="1" applyAlignment="1">
      <alignment horizontal="center"/>
    </xf>
    <xf numFmtId="2" fontId="43" fillId="35" borderId="39" xfId="0" applyNumberFormat="1" applyFont="1" applyFill="1" applyBorder="1" applyAlignment="1">
      <alignment horizontal="center"/>
    </xf>
    <xf numFmtId="2" fontId="43" fillId="35" borderId="62" xfId="0" applyNumberFormat="1" applyFont="1" applyFill="1" applyBorder="1" applyAlignment="1">
      <alignment horizontal="center"/>
    </xf>
    <xf numFmtId="0" fontId="36" fillId="0" borderId="40" xfId="0" applyFont="1" applyBorder="1" applyAlignment="1">
      <alignment horizontal="center"/>
    </xf>
    <xf numFmtId="0" fontId="31" fillId="0" borderId="81" xfId="0" applyFont="1" applyBorder="1" applyAlignment="1">
      <alignment horizontal="center"/>
    </xf>
    <xf numFmtId="0" fontId="44" fillId="0" borderId="26" xfId="0" applyFont="1" applyBorder="1" applyAlignment="1">
      <alignment/>
    </xf>
    <xf numFmtId="0" fontId="44" fillId="0" borderId="0" xfId="0" applyFont="1" applyBorder="1" applyAlignment="1">
      <alignment/>
    </xf>
    <xf numFmtId="1" fontId="31" fillId="0" borderId="46" xfId="0" applyNumberFormat="1" applyFont="1" applyBorder="1" applyAlignment="1">
      <alignment horizontal="center"/>
    </xf>
    <xf numFmtId="1" fontId="31" fillId="0" borderId="47" xfId="0" applyNumberFormat="1" applyFont="1" applyBorder="1" applyAlignment="1">
      <alignment horizontal="center"/>
    </xf>
    <xf numFmtId="0" fontId="31" fillId="0" borderId="0" xfId="0" applyFont="1" applyAlignment="1">
      <alignment/>
    </xf>
    <xf numFmtId="1" fontId="31" fillId="0" borderId="48" xfId="0" applyNumberFormat="1" applyFont="1" applyBorder="1" applyAlignment="1">
      <alignment horizontal="center"/>
    </xf>
    <xf numFmtId="2" fontId="31" fillId="0" borderId="48" xfId="0" applyNumberFormat="1" applyFont="1" applyBorder="1" applyAlignment="1">
      <alignment horizontal="center"/>
    </xf>
    <xf numFmtId="1" fontId="31" fillId="0" borderId="62" xfId="0" applyNumberFormat="1" applyFont="1" applyBorder="1" applyAlignment="1">
      <alignment horizontal="center"/>
    </xf>
    <xf numFmtId="2" fontId="31" fillId="0" borderId="44" xfId="0" applyNumberFormat="1" applyFont="1" applyBorder="1" applyAlignment="1">
      <alignment horizontal="center"/>
    </xf>
    <xf numFmtId="1" fontId="31" fillId="0" borderId="43" xfId="0" applyNumberFormat="1" applyFont="1" applyBorder="1" applyAlignment="1">
      <alignment horizontal="center"/>
    </xf>
    <xf numFmtId="16" fontId="5" fillId="0" borderId="28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2" fontId="5" fillId="0" borderId="29" xfId="0" applyNumberFormat="1" applyFont="1" applyBorder="1" applyAlignment="1">
      <alignment horizontal="center"/>
    </xf>
    <xf numFmtId="2" fontId="31" fillId="0" borderId="81" xfId="0" applyNumberFormat="1" applyFont="1" applyBorder="1" applyAlignment="1">
      <alignment horizontal="center"/>
    </xf>
    <xf numFmtId="0" fontId="31" fillId="33" borderId="26" xfId="0" applyFont="1" applyFill="1" applyBorder="1" applyAlignment="1">
      <alignment/>
    </xf>
    <xf numFmtId="2" fontId="42" fillId="0" borderId="0" xfId="0" applyNumberFormat="1" applyFont="1" applyBorder="1" applyAlignment="1">
      <alignment horizontal="center"/>
    </xf>
    <xf numFmtId="0" fontId="42" fillId="0" borderId="0" xfId="0" applyFont="1" applyBorder="1" applyAlignment="1">
      <alignment/>
    </xf>
    <xf numFmtId="0" fontId="31" fillId="0" borderId="14" xfId="0" applyFont="1" applyBorder="1" applyAlignment="1">
      <alignment/>
    </xf>
    <xf numFmtId="1" fontId="45" fillId="36" borderId="53" xfId="0" applyNumberFormat="1" applyFont="1" applyFill="1" applyBorder="1" applyAlignment="1">
      <alignment horizontal="center"/>
    </xf>
    <xf numFmtId="174" fontId="33" fillId="36" borderId="41" xfId="0" applyNumberFormat="1" applyFont="1" applyFill="1" applyBorder="1" applyAlignment="1">
      <alignment horizontal="center"/>
    </xf>
    <xf numFmtId="1" fontId="31" fillId="0" borderId="12" xfId="0" applyNumberFormat="1" applyFont="1" applyBorder="1" applyAlignment="1">
      <alignment horizontal="center"/>
    </xf>
    <xf numFmtId="2" fontId="31" fillId="0" borderId="82" xfId="0" applyNumberFormat="1" applyFont="1" applyBorder="1" applyAlignment="1">
      <alignment horizontal="center"/>
    </xf>
    <xf numFmtId="0" fontId="46" fillId="33" borderId="26" xfId="0" applyFont="1" applyFill="1" applyBorder="1" applyAlignment="1">
      <alignment/>
    </xf>
    <xf numFmtId="0" fontId="49" fillId="0" borderId="0" xfId="0" applyFont="1" applyBorder="1" applyAlignment="1">
      <alignment/>
    </xf>
    <xf numFmtId="0" fontId="36" fillId="0" borderId="83" xfId="0" applyFont="1" applyBorder="1" applyAlignment="1">
      <alignment horizontal="center"/>
    </xf>
    <xf numFmtId="1" fontId="33" fillId="36" borderId="53" xfId="0" applyNumberFormat="1" applyFont="1" applyFill="1" applyBorder="1" applyAlignment="1">
      <alignment horizontal="center"/>
    </xf>
    <xf numFmtId="174" fontId="43" fillId="35" borderId="62" xfId="0" applyNumberFormat="1" applyFont="1" applyFill="1" applyBorder="1" applyAlignment="1">
      <alignment horizontal="center"/>
    </xf>
    <xf numFmtId="174" fontId="45" fillId="36" borderId="40" xfId="0" applyNumberFormat="1" applyFont="1" applyFill="1" applyBorder="1" applyAlignment="1">
      <alignment horizontal="center"/>
    </xf>
    <xf numFmtId="174" fontId="45" fillId="36" borderId="41" xfId="0" applyNumberFormat="1" applyFont="1" applyFill="1" applyBorder="1" applyAlignment="1">
      <alignment horizontal="center"/>
    </xf>
    <xf numFmtId="0" fontId="32" fillId="36" borderId="50" xfId="0" applyFont="1" applyFill="1" applyBorder="1" applyAlignment="1">
      <alignment horizontal="center"/>
    </xf>
    <xf numFmtId="2" fontId="32" fillId="36" borderId="51" xfId="0" applyNumberFormat="1" applyFont="1" applyFill="1" applyBorder="1" applyAlignment="1">
      <alignment horizontal="center"/>
    </xf>
    <xf numFmtId="0" fontId="33" fillId="36" borderId="50" xfId="0" applyFont="1" applyFill="1" applyBorder="1" applyAlignment="1">
      <alignment horizontal="center"/>
    </xf>
    <xf numFmtId="2" fontId="33" fillId="36" borderId="51" xfId="0" applyNumberFormat="1" applyFont="1" applyFill="1" applyBorder="1" applyAlignment="1">
      <alignment horizontal="center"/>
    </xf>
    <xf numFmtId="1" fontId="31" fillId="0" borderId="84" xfId="0" applyNumberFormat="1" applyFont="1" applyBorder="1" applyAlignment="1">
      <alignment horizontal="center"/>
    </xf>
    <xf numFmtId="1" fontId="31" fillId="0" borderId="67" xfId="0" applyNumberFormat="1" applyFont="1" applyBorder="1" applyAlignment="1">
      <alignment horizontal="center"/>
    </xf>
    <xf numFmtId="1" fontId="31" fillId="0" borderId="77" xfId="0" applyNumberFormat="1" applyFont="1" applyBorder="1" applyAlignment="1">
      <alignment horizontal="center"/>
    </xf>
    <xf numFmtId="1" fontId="31" fillId="0" borderId="68" xfId="0" applyNumberFormat="1" applyFont="1" applyBorder="1" applyAlignment="1">
      <alignment horizontal="center"/>
    </xf>
    <xf numFmtId="1" fontId="32" fillId="33" borderId="77" xfId="0" applyNumberFormat="1" applyFont="1" applyFill="1" applyBorder="1" applyAlignment="1">
      <alignment horizontal="center"/>
    </xf>
    <xf numFmtId="1" fontId="32" fillId="33" borderId="68" xfId="0" applyNumberFormat="1" applyFont="1" applyFill="1" applyBorder="1" applyAlignment="1">
      <alignment horizontal="center"/>
    </xf>
    <xf numFmtId="1" fontId="32" fillId="33" borderId="78" xfId="0" applyNumberFormat="1" applyFont="1" applyFill="1" applyBorder="1" applyAlignment="1">
      <alignment horizontal="center"/>
    </xf>
    <xf numFmtId="1" fontId="32" fillId="33" borderId="72" xfId="0" applyNumberFormat="1" applyFont="1" applyFill="1" applyBorder="1" applyAlignment="1">
      <alignment horizontal="center"/>
    </xf>
    <xf numFmtId="2" fontId="43" fillId="35" borderId="80" xfId="0" applyNumberFormat="1" applyFont="1" applyFill="1" applyBorder="1" applyAlignment="1">
      <alignment horizontal="center"/>
    </xf>
    <xf numFmtId="174" fontId="31" fillId="0" borderId="53" xfId="0" applyNumberFormat="1" applyFont="1" applyBorder="1" applyAlignment="1">
      <alignment horizontal="center"/>
    </xf>
    <xf numFmtId="0" fontId="35" fillId="0" borderId="40" xfId="0" applyFont="1" applyBorder="1" applyAlignment="1">
      <alignment horizontal="center"/>
    </xf>
    <xf numFmtId="0" fontId="42" fillId="35" borderId="83" xfId="0" applyFont="1" applyFill="1" applyBorder="1" applyAlignment="1">
      <alignment horizontal="center"/>
    </xf>
    <xf numFmtId="0" fontId="42" fillId="35" borderId="15" xfId="0" applyFont="1" applyFill="1" applyBorder="1" applyAlignment="1">
      <alignment horizontal="center"/>
    </xf>
    <xf numFmtId="0" fontId="31" fillId="0" borderId="84" xfId="0" applyFont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43" fillId="0" borderId="0" xfId="0" applyFont="1" applyBorder="1" applyAlignment="1">
      <alignment/>
    </xf>
    <xf numFmtId="2" fontId="33" fillId="36" borderId="50" xfId="0" applyNumberFormat="1" applyFont="1" applyFill="1" applyBorder="1" applyAlignment="1">
      <alignment horizontal="center"/>
    </xf>
    <xf numFmtId="16" fontId="5" fillId="0" borderId="26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3" fillId="0" borderId="40" xfId="0" applyFont="1" applyBorder="1" applyAlignment="1">
      <alignment horizontal="center"/>
    </xf>
    <xf numFmtId="0" fontId="53" fillId="0" borderId="53" xfId="0" applyFont="1" applyBorder="1" applyAlignment="1">
      <alignment horizontal="center"/>
    </xf>
    <xf numFmtId="0" fontId="53" fillId="0" borderId="26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27" xfId="0" applyFont="1" applyBorder="1" applyAlignment="1">
      <alignment/>
    </xf>
    <xf numFmtId="0" fontId="55" fillId="0" borderId="40" xfId="0" applyFont="1" applyBorder="1" applyAlignment="1">
      <alignment horizontal="center"/>
    </xf>
    <xf numFmtId="0" fontId="53" fillId="34" borderId="85" xfId="0" applyFont="1" applyFill="1" applyBorder="1" applyAlignment="1">
      <alignment/>
    </xf>
    <xf numFmtId="0" fontId="53" fillId="34" borderId="86" xfId="0" applyFont="1" applyFill="1" applyBorder="1" applyAlignment="1">
      <alignment/>
    </xf>
    <xf numFmtId="0" fontId="53" fillId="34" borderId="64" xfId="0" applyFont="1" applyFill="1" applyBorder="1" applyAlignment="1">
      <alignment/>
    </xf>
    <xf numFmtId="0" fontId="53" fillId="34" borderId="25" xfId="0" applyFont="1" applyFill="1" applyBorder="1" applyAlignment="1">
      <alignment/>
    </xf>
    <xf numFmtId="0" fontId="53" fillId="34" borderId="87" xfId="0" applyFont="1" applyFill="1" applyBorder="1" applyAlignment="1">
      <alignment horizontal="center"/>
    </xf>
    <xf numFmtId="0" fontId="53" fillId="34" borderId="88" xfId="0" applyFont="1" applyFill="1" applyBorder="1" applyAlignment="1">
      <alignment horizontal="center"/>
    </xf>
    <xf numFmtId="0" fontId="53" fillId="34" borderId="89" xfId="0" applyFont="1" applyFill="1" applyBorder="1" applyAlignment="1">
      <alignment horizontal="center"/>
    </xf>
    <xf numFmtId="0" fontId="53" fillId="34" borderId="90" xfId="0" applyFont="1" applyFill="1" applyBorder="1" applyAlignment="1">
      <alignment/>
    </xf>
    <xf numFmtId="0" fontId="53" fillId="34" borderId="91" xfId="0" applyFont="1" applyFill="1" applyBorder="1" applyAlignment="1">
      <alignment/>
    </xf>
    <xf numFmtId="174" fontId="53" fillId="34" borderId="92" xfId="0" applyNumberFormat="1" applyFont="1" applyFill="1" applyBorder="1" applyAlignment="1">
      <alignment horizontal="center"/>
    </xf>
    <xf numFmtId="0" fontId="53" fillId="37" borderId="85" xfId="0" applyFont="1" applyFill="1" applyBorder="1" applyAlignment="1">
      <alignment/>
    </xf>
    <xf numFmtId="0" fontId="53" fillId="37" borderId="86" xfId="0" applyFont="1" applyFill="1" applyBorder="1" applyAlignment="1">
      <alignment/>
    </xf>
    <xf numFmtId="0" fontId="53" fillId="37" borderId="64" xfId="0" applyFont="1" applyFill="1" applyBorder="1" applyAlignment="1">
      <alignment/>
    </xf>
    <xf numFmtId="0" fontId="53" fillId="37" borderId="25" xfId="0" applyFont="1" applyFill="1" applyBorder="1" applyAlignment="1">
      <alignment/>
    </xf>
    <xf numFmtId="0" fontId="53" fillId="37" borderId="87" xfId="0" applyFont="1" applyFill="1" applyBorder="1" applyAlignment="1">
      <alignment horizontal="center"/>
    </xf>
    <xf numFmtId="0" fontId="53" fillId="37" borderId="88" xfId="0" applyFont="1" applyFill="1" applyBorder="1" applyAlignment="1">
      <alignment horizontal="center"/>
    </xf>
    <xf numFmtId="0" fontId="53" fillId="37" borderId="89" xfId="0" applyFont="1" applyFill="1" applyBorder="1" applyAlignment="1">
      <alignment horizontal="center"/>
    </xf>
    <xf numFmtId="0" fontId="53" fillId="37" borderId="90" xfId="0" applyFont="1" applyFill="1" applyBorder="1" applyAlignment="1">
      <alignment/>
    </xf>
    <xf numFmtId="0" fontId="53" fillId="37" borderId="91" xfId="0" applyFont="1" applyFill="1" applyBorder="1" applyAlignment="1">
      <alignment/>
    </xf>
    <xf numFmtId="0" fontId="53" fillId="37" borderId="93" xfId="0" applyFont="1" applyFill="1" applyBorder="1" applyAlignment="1">
      <alignment horizontal="center"/>
    </xf>
    <xf numFmtId="0" fontId="53" fillId="37" borderId="94" xfId="0" applyFont="1" applyFill="1" applyBorder="1" applyAlignment="1">
      <alignment horizontal="center"/>
    </xf>
    <xf numFmtId="0" fontId="53" fillId="37" borderId="95" xfId="0" applyFont="1" applyFill="1" applyBorder="1" applyAlignment="1">
      <alignment horizontal="center"/>
    </xf>
    <xf numFmtId="0" fontId="53" fillId="37" borderId="96" xfId="0" applyFont="1" applyFill="1" applyBorder="1" applyAlignment="1">
      <alignment/>
    </xf>
    <xf numFmtId="0" fontId="53" fillId="37" borderId="29" xfId="0" applyFont="1" applyFill="1" applyBorder="1" applyAlignment="1">
      <alignment/>
    </xf>
    <xf numFmtId="0" fontId="53" fillId="37" borderId="97" xfId="0" applyFont="1" applyFill="1" applyBorder="1" applyAlignment="1">
      <alignment horizontal="center"/>
    </xf>
    <xf numFmtId="174" fontId="53" fillId="37" borderId="98" xfId="0" applyNumberFormat="1" applyFont="1" applyFill="1" applyBorder="1" applyAlignment="1">
      <alignment horizontal="center"/>
    </xf>
    <xf numFmtId="174" fontId="53" fillId="37" borderId="99" xfId="0" applyNumberFormat="1" applyFont="1" applyFill="1" applyBorder="1" applyAlignment="1">
      <alignment horizontal="center"/>
    </xf>
    <xf numFmtId="174" fontId="53" fillId="37" borderId="92" xfId="0" applyNumberFormat="1" applyFont="1" applyFill="1" applyBorder="1" applyAlignment="1">
      <alignment horizontal="center"/>
    </xf>
    <xf numFmtId="0" fontId="53" fillId="34" borderId="100" xfId="0" applyFont="1" applyFill="1" applyBorder="1" applyAlignment="1">
      <alignment horizontal="center"/>
    </xf>
    <xf numFmtId="0" fontId="53" fillId="34" borderId="101" xfId="0" applyFont="1" applyFill="1" applyBorder="1" applyAlignment="1">
      <alignment horizontal="center"/>
    </xf>
    <xf numFmtId="0" fontId="53" fillId="34" borderId="102" xfId="0" applyFont="1" applyFill="1" applyBorder="1" applyAlignment="1">
      <alignment horizontal="center"/>
    </xf>
    <xf numFmtId="2" fontId="53" fillId="34" borderId="88" xfId="0" applyNumberFormat="1" applyFont="1" applyFill="1" applyBorder="1" applyAlignment="1">
      <alignment horizontal="center"/>
    </xf>
    <xf numFmtId="0" fontId="53" fillId="34" borderId="103" xfId="0" applyFont="1" applyFill="1" applyBorder="1" applyAlignment="1">
      <alignment horizontal="center"/>
    </xf>
    <xf numFmtId="2" fontId="53" fillId="34" borderId="87" xfId="0" applyNumberFormat="1" applyFont="1" applyFill="1" applyBorder="1" applyAlignment="1">
      <alignment horizontal="center"/>
    </xf>
    <xf numFmtId="2" fontId="53" fillId="34" borderId="103" xfId="0" applyNumberFormat="1" applyFont="1" applyFill="1" applyBorder="1" applyAlignment="1">
      <alignment horizontal="center"/>
    </xf>
    <xf numFmtId="2" fontId="53" fillId="34" borderId="89" xfId="0" applyNumberFormat="1" applyFont="1" applyFill="1" applyBorder="1" applyAlignment="1">
      <alignment horizontal="center"/>
    </xf>
    <xf numFmtId="174" fontId="53" fillId="34" borderId="104" xfId="0" applyNumberFormat="1" applyFont="1" applyFill="1" applyBorder="1" applyAlignment="1">
      <alignment horizontal="center"/>
    </xf>
    <xf numFmtId="174" fontId="53" fillId="34" borderId="105" xfId="0" applyNumberFormat="1" applyFont="1" applyFill="1" applyBorder="1" applyAlignment="1">
      <alignment horizontal="center"/>
    </xf>
    <xf numFmtId="174" fontId="53" fillId="34" borderId="106" xfId="0" applyNumberFormat="1" applyFont="1" applyFill="1" applyBorder="1" applyAlignment="1">
      <alignment horizontal="center"/>
    </xf>
    <xf numFmtId="0" fontId="53" fillId="0" borderId="107" xfId="0" applyFont="1" applyBorder="1" applyAlignment="1">
      <alignment horizontal="center"/>
    </xf>
    <xf numFmtId="0" fontId="53" fillId="0" borderId="68" xfId="0" applyFont="1" applyBorder="1" applyAlignment="1">
      <alignment horizontal="center"/>
    </xf>
    <xf numFmtId="0" fontId="56" fillId="0" borderId="28" xfId="0" applyFont="1" applyBorder="1" applyAlignment="1">
      <alignment horizontal="center"/>
    </xf>
    <xf numFmtId="0" fontId="56" fillId="0" borderId="25" xfId="0" applyFont="1" applyBorder="1" applyAlignment="1">
      <alignment horizontal="center"/>
    </xf>
    <xf numFmtId="174" fontId="57" fillId="0" borderId="28" xfId="0" applyNumberFormat="1" applyFont="1" applyBorder="1" applyAlignment="1">
      <alignment horizontal="center"/>
    </xf>
    <xf numFmtId="2" fontId="57" fillId="0" borderId="25" xfId="0" applyNumberFormat="1" applyFont="1" applyBorder="1" applyAlignment="1">
      <alignment horizontal="center"/>
    </xf>
    <xf numFmtId="0" fontId="53" fillId="0" borderId="26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34" borderId="68" xfId="0" applyFont="1" applyFill="1" applyBorder="1" applyAlignment="1">
      <alignment horizontal="center"/>
    </xf>
    <xf numFmtId="2" fontId="53" fillId="34" borderId="68" xfId="0" applyNumberFormat="1" applyFont="1" applyFill="1" applyBorder="1" applyAlignment="1">
      <alignment horizontal="center"/>
    </xf>
    <xf numFmtId="0" fontId="56" fillId="0" borderId="28" xfId="0" applyFont="1" applyBorder="1" applyAlignment="1">
      <alignment/>
    </xf>
    <xf numFmtId="0" fontId="56" fillId="0" borderId="25" xfId="0" applyFont="1" applyBorder="1" applyAlignment="1">
      <alignment/>
    </xf>
    <xf numFmtId="0" fontId="55" fillId="0" borderId="83" xfId="0" applyFont="1" applyBorder="1" applyAlignment="1">
      <alignment horizontal="center"/>
    </xf>
    <xf numFmtId="0" fontId="53" fillId="37" borderId="108" xfId="0" applyFont="1" applyFill="1" applyBorder="1" applyAlignment="1">
      <alignment/>
    </xf>
    <xf numFmtId="0" fontId="53" fillId="37" borderId="109" xfId="0" applyFont="1" applyFill="1" applyBorder="1" applyAlignment="1">
      <alignment/>
    </xf>
    <xf numFmtId="0" fontId="56" fillId="0" borderId="28" xfId="0" applyFont="1" applyFill="1" applyBorder="1" applyAlignment="1">
      <alignment horizontal="center"/>
    </xf>
    <xf numFmtId="0" fontId="56" fillId="0" borderId="25" xfId="0" applyFont="1" applyFill="1" applyBorder="1" applyAlignment="1">
      <alignment horizontal="center"/>
    </xf>
    <xf numFmtId="0" fontId="29" fillId="35" borderId="110" xfId="0" applyFont="1" applyFill="1" applyBorder="1" applyAlignment="1">
      <alignment horizontal="center"/>
    </xf>
    <xf numFmtId="0" fontId="62" fillId="35" borderId="40" xfId="0" applyFont="1" applyFill="1" applyBorder="1" applyAlignment="1">
      <alignment horizontal="center"/>
    </xf>
    <xf numFmtId="0" fontId="31" fillId="36" borderId="111" xfId="0" applyFont="1" applyFill="1" applyBorder="1" applyAlignment="1">
      <alignment horizontal="center"/>
    </xf>
    <xf numFmtId="2" fontId="31" fillId="36" borderId="112" xfId="0" applyNumberFormat="1" applyFont="1" applyFill="1" applyBorder="1" applyAlignment="1">
      <alignment horizontal="center"/>
    </xf>
    <xf numFmtId="2" fontId="31" fillId="36" borderId="113" xfId="0" applyNumberFormat="1" applyFont="1" applyFill="1" applyBorder="1" applyAlignment="1">
      <alignment horizontal="center"/>
    </xf>
    <xf numFmtId="2" fontId="31" fillId="36" borderId="114" xfId="0" applyNumberFormat="1" applyFont="1" applyFill="1" applyBorder="1" applyAlignment="1">
      <alignment horizontal="center"/>
    </xf>
    <xf numFmtId="174" fontId="31" fillId="36" borderId="115" xfId="0" applyNumberFormat="1" applyFont="1" applyFill="1" applyBorder="1" applyAlignment="1">
      <alignment horizontal="center"/>
    </xf>
    <xf numFmtId="0" fontId="16" fillId="37" borderId="85" xfId="0" applyFont="1" applyFill="1" applyBorder="1" applyAlignment="1">
      <alignment/>
    </xf>
    <xf numFmtId="0" fontId="16" fillId="37" borderId="86" xfId="0" applyFont="1" applyFill="1" applyBorder="1" applyAlignment="1">
      <alignment/>
    </xf>
    <xf numFmtId="0" fontId="15" fillId="37" borderId="86" xfId="0" applyFont="1" applyFill="1" applyBorder="1" applyAlignment="1">
      <alignment/>
    </xf>
    <xf numFmtId="0" fontId="15" fillId="37" borderId="116" xfId="0" applyFont="1" applyFill="1" applyBorder="1" applyAlignment="1">
      <alignment/>
    </xf>
    <xf numFmtId="0" fontId="16" fillId="37" borderId="64" xfId="0" applyFont="1" applyFill="1" applyBorder="1" applyAlignment="1">
      <alignment/>
    </xf>
    <xf numFmtId="0" fontId="16" fillId="37" borderId="25" xfId="0" applyFont="1" applyFill="1" applyBorder="1" applyAlignment="1">
      <alignment/>
    </xf>
    <xf numFmtId="0" fontId="15" fillId="37" borderId="25" xfId="0" applyFont="1" applyFill="1" applyBorder="1" applyAlignment="1">
      <alignment/>
    </xf>
    <xf numFmtId="0" fontId="15" fillId="37" borderId="103" xfId="0" applyFont="1" applyFill="1" applyBorder="1" applyAlignment="1">
      <alignment/>
    </xf>
    <xf numFmtId="0" fontId="16" fillId="37" borderId="117" xfId="0" applyFont="1" applyFill="1" applyBorder="1" applyAlignment="1">
      <alignment/>
    </xf>
    <xf numFmtId="0" fontId="16" fillId="37" borderId="118" xfId="0" applyFont="1" applyFill="1" applyBorder="1" applyAlignment="1">
      <alignment/>
    </xf>
    <xf numFmtId="0" fontId="15" fillId="37" borderId="118" xfId="0" applyFont="1" applyFill="1" applyBorder="1" applyAlignment="1">
      <alignment/>
    </xf>
    <xf numFmtId="0" fontId="15" fillId="37" borderId="119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0" fontId="16" fillId="37" borderId="11" xfId="0" applyFont="1" applyFill="1" applyBorder="1" applyAlignment="1">
      <alignment/>
    </xf>
    <xf numFmtId="0" fontId="15" fillId="37" borderId="11" xfId="0" applyFont="1" applyFill="1" applyBorder="1" applyAlignment="1">
      <alignment/>
    </xf>
    <xf numFmtId="0" fontId="15" fillId="37" borderId="37" xfId="0" applyFont="1" applyFill="1" applyBorder="1" applyAlignment="1">
      <alignment/>
    </xf>
    <xf numFmtId="0" fontId="16" fillId="37" borderId="37" xfId="0" applyFont="1" applyFill="1" applyBorder="1" applyAlignment="1">
      <alignment horizontal="center"/>
    </xf>
    <xf numFmtId="0" fontId="15" fillId="37" borderId="47" xfId="0" applyFont="1" applyFill="1" applyBorder="1" applyAlignment="1">
      <alignment horizontal="center"/>
    </xf>
    <xf numFmtId="0" fontId="15" fillId="37" borderId="39" xfId="0" applyFont="1" applyFill="1" applyBorder="1" applyAlignment="1">
      <alignment horizontal="center"/>
    </xf>
    <xf numFmtId="0" fontId="16" fillId="37" borderId="120" xfId="0" applyFont="1" applyFill="1" applyBorder="1" applyAlignment="1">
      <alignment/>
    </xf>
    <xf numFmtId="0" fontId="16" fillId="37" borderId="121" xfId="0" applyFont="1" applyFill="1" applyBorder="1" applyAlignment="1">
      <alignment/>
    </xf>
    <xf numFmtId="0" fontId="15" fillId="37" borderId="121" xfId="0" applyFont="1" applyFill="1" applyBorder="1" applyAlignment="1">
      <alignment/>
    </xf>
    <xf numFmtId="0" fontId="15" fillId="37" borderId="122" xfId="0" applyFont="1" applyFill="1" applyBorder="1" applyAlignment="1">
      <alignment/>
    </xf>
    <xf numFmtId="0" fontId="16" fillId="37" borderId="122" xfId="0" applyFont="1" applyFill="1" applyBorder="1" applyAlignment="1">
      <alignment horizontal="center"/>
    </xf>
    <xf numFmtId="0" fontId="16" fillId="37" borderId="123" xfId="0" applyFont="1" applyFill="1" applyBorder="1" applyAlignment="1">
      <alignment horizontal="center"/>
    </xf>
    <xf numFmtId="0" fontId="16" fillId="37" borderId="124" xfId="0" applyFont="1" applyFill="1" applyBorder="1" applyAlignment="1">
      <alignment horizontal="center"/>
    </xf>
    <xf numFmtId="0" fontId="16" fillId="37" borderId="88" xfId="0" applyFont="1" applyFill="1" applyBorder="1" applyAlignment="1">
      <alignment horizontal="center"/>
    </xf>
    <xf numFmtId="0" fontId="16" fillId="37" borderId="89" xfId="0" applyFont="1" applyFill="1" applyBorder="1" applyAlignment="1">
      <alignment horizontal="center"/>
    </xf>
    <xf numFmtId="1" fontId="16" fillId="37" borderId="88" xfId="0" applyNumberFormat="1" applyFont="1" applyFill="1" applyBorder="1" applyAlignment="1">
      <alignment horizontal="center"/>
    </xf>
    <xf numFmtId="1" fontId="16" fillId="37" borderId="89" xfId="0" applyNumberFormat="1" applyFont="1" applyFill="1" applyBorder="1" applyAlignment="1">
      <alignment horizontal="center"/>
    </xf>
    <xf numFmtId="174" fontId="16" fillId="37" borderId="125" xfId="0" applyNumberFormat="1" applyFont="1" applyFill="1" applyBorder="1" applyAlignment="1">
      <alignment horizontal="center"/>
    </xf>
    <xf numFmtId="174" fontId="16" fillId="37" borderId="126" xfId="0" applyNumberFormat="1" applyFont="1" applyFill="1" applyBorder="1" applyAlignment="1">
      <alignment horizontal="center"/>
    </xf>
    <xf numFmtId="0" fontId="16" fillId="37" borderId="47" xfId="0" applyFont="1" applyFill="1" applyBorder="1" applyAlignment="1">
      <alignment horizontal="center"/>
    </xf>
    <xf numFmtId="0" fontId="16" fillId="37" borderId="39" xfId="0" applyFont="1" applyFill="1" applyBorder="1" applyAlignment="1">
      <alignment horizontal="center"/>
    </xf>
    <xf numFmtId="2" fontId="16" fillId="37" borderId="103" xfId="0" applyNumberFormat="1" applyFont="1" applyFill="1" applyBorder="1" applyAlignment="1">
      <alignment horizontal="center"/>
    </xf>
    <xf numFmtId="2" fontId="16" fillId="37" borderId="88" xfId="0" applyNumberFormat="1" applyFont="1" applyFill="1" applyBorder="1" applyAlignment="1">
      <alignment horizontal="center"/>
    </xf>
    <xf numFmtId="2" fontId="16" fillId="37" borderId="89" xfId="0" applyNumberFormat="1" applyFont="1" applyFill="1" applyBorder="1" applyAlignment="1">
      <alignment horizontal="center"/>
    </xf>
    <xf numFmtId="2" fontId="16" fillId="37" borderId="68" xfId="0" applyNumberFormat="1" applyFont="1" applyFill="1" applyBorder="1" applyAlignment="1">
      <alignment horizontal="center"/>
    </xf>
    <xf numFmtId="0" fontId="16" fillId="37" borderId="90" xfId="0" applyFont="1" applyFill="1" applyBorder="1" applyAlignment="1">
      <alignment/>
    </xf>
    <xf numFmtId="0" fontId="16" fillId="37" borderId="91" xfId="0" applyFont="1" applyFill="1" applyBorder="1" applyAlignment="1">
      <alignment/>
    </xf>
    <xf numFmtId="0" fontId="15" fillId="37" borderId="91" xfId="0" applyFont="1" applyFill="1" applyBorder="1" applyAlignment="1">
      <alignment/>
    </xf>
    <xf numFmtId="0" fontId="15" fillId="37" borderId="105" xfId="0" applyFont="1" applyFill="1" applyBorder="1" applyAlignment="1">
      <alignment/>
    </xf>
    <xf numFmtId="174" fontId="16" fillId="37" borderId="99" xfId="0" applyNumberFormat="1" applyFont="1" applyFill="1" applyBorder="1" applyAlignment="1">
      <alignment horizontal="center"/>
    </xf>
    <xf numFmtId="174" fontId="16" fillId="37" borderId="92" xfId="0" applyNumberFormat="1" applyFont="1" applyFill="1" applyBorder="1" applyAlignment="1">
      <alignment horizontal="center"/>
    </xf>
    <xf numFmtId="0" fontId="63" fillId="37" borderId="47" xfId="0" applyFont="1" applyFill="1" applyBorder="1" applyAlignment="1">
      <alignment horizontal="center"/>
    </xf>
    <xf numFmtId="0" fontId="63" fillId="37" borderId="39" xfId="0" applyFont="1" applyFill="1" applyBorder="1" applyAlignment="1">
      <alignment horizontal="center"/>
    </xf>
    <xf numFmtId="0" fontId="16" fillId="35" borderId="123" xfId="0" applyFont="1" applyFill="1" applyBorder="1" applyAlignment="1">
      <alignment horizontal="center"/>
    </xf>
    <xf numFmtId="0" fontId="16" fillId="35" borderId="124" xfId="0" applyFont="1" applyFill="1" applyBorder="1" applyAlignment="1">
      <alignment horizontal="center"/>
    </xf>
    <xf numFmtId="0" fontId="16" fillId="35" borderId="88" xfId="0" applyFont="1" applyFill="1" applyBorder="1" applyAlignment="1">
      <alignment horizontal="center"/>
    </xf>
    <xf numFmtId="0" fontId="16" fillId="35" borderId="89" xfId="0" applyFont="1" applyFill="1" applyBorder="1" applyAlignment="1">
      <alignment horizontal="center"/>
    </xf>
    <xf numFmtId="2" fontId="16" fillId="35" borderId="88" xfId="0" applyNumberFormat="1" applyFont="1" applyFill="1" applyBorder="1" applyAlignment="1">
      <alignment horizontal="center"/>
    </xf>
    <xf numFmtId="174" fontId="16" fillId="35" borderId="99" xfId="0" applyNumberFormat="1" applyFont="1" applyFill="1" applyBorder="1" applyAlignment="1">
      <alignment horizontal="center"/>
    </xf>
    <xf numFmtId="20" fontId="16" fillId="35" borderId="47" xfId="0" applyNumberFormat="1" applyFont="1" applyFill="1" applyBorder="1" applyAlignment="1">
      <alignment horizontal="center"/>
    </xf>
    <xf numFmtId="174" fontId="16" fillId="35" borderId="47" xfId="0" applyNumberFormat="1" applyFont="1" applyFill="1" applyBorder="1" applyAlignment="1">
      <alignment horizontal="center"/>
    </xf>
    <xf numFmtId="0" fontId="16" fillId="35" borderId="47" xfId="0" applyFont="1" applyFill="1" applyBorder="1" applyAlignment="1">
      <alignment horizontal="center"/>
    </xf>
    <xf numFmtId="0" fontId="16" fillId="35" borderId="39" xfId="0" applyFont="1" applyFill="1" applyBorder="1" applyAlignment="1">
      <alignment horizontal="center"/>
    </xf>
    <xf numFmtId="2" fontId="16" fillId="35" borderId="127" xfId="0" applyNumberFormat="1" applyFont="1" applyFill="1" applyBorder="1" applyAlignment="1">
      <alignment horizontal="center"/>
    </xf>
    <xf numFmtId="0" fontId="24" fillId="37" borderId="37" xfId="0" applyFont="1" applyFill="1" applyBorder="1" applyAlignment="1">
      <alignment horizontal="center"/>
    </xf>
    <xf numFmtId="0" fontId="24" fillId="37" borderId="47" xfId="0" applyFont="1" applyFill="1" applyBorder="1" applyAlignment="1">
      <alignment horizontal="center"/>
    </xf>
    <xf numFmtId="0" fontId="24" fillId="37" borderId="39" xfId="0" applyFont="1" applyFill="1" applyBorder="1" applyAlignment="1">
      <alignment horizontal="center"/>
    </xf>
    <xf numFmtId="0" fontId="58" fillId="36" borderId="128" xfId="0" applyFont="1" applyFill="1" applyBorder="1" applyAlignment="1">
      <alignment horizontal="center"/>
    </xf>
    <xf numFmtId="0" fontId="58" fillId="36" borderId="47" xfId="0" applyFont="1" applyFill="1" applyBorder="1" applyAlignment="1">
      <alignment horizontal="center"/>
    </xf>
    <xf numFmtId="0" fontId="58" fillId="36" borderId="39" xfId="0" applyFont="1" applyFill="1" applyBorder="1" applyAlignment="1">
      <alignment horizontal="center"/>
    </xf>
    <xf numFmtId="20" fontId="16" fillId="35" borderId="127" xfId="0" applyNumberFormat="1" applyFont="1" applyFill="1" applyBorder="1" applyAlignment="1">
      <alignment horizontal="center"/>
    </xf>
    <xf numFmtId="174" fontId="16" fillId="35" borderId="127" xfId="0" applyNumberFormat="1" applyFont="1" applyFill="1" applyBorder="1" applyAlignment="1">
      <alignment horizontal="center"/>
    </xf>
    <xf numFmtId="0" fontId="16" fillId="35" borderId="127" xfId="0" applyFont="1" applyFill="1" applyBorder="1" applyAlignment="1">
      <alignment horizontal="center"/>
    </xf>
    <xf numFmtId="2" fontId="16" fillId="35" borderId="129" xfId="0" applyNumberFormat="1" applyFont="1" applyFill="1" applyBorder="1" applyAlignment="1">
      <alignment horizontal="center"/>
    </xf>
    <xf numFmtId="0" fontId="58" fillId="36" borderId="130" xfId="0" applyFont="1" applyFill="1" applyBorder="1" applyAlignment="1">
      <alignment horizontal="center"/>
    </xf>
    <xf numFmtId="0" fontId="58" fillId="36" borderId="36" xfId="0" applyFont="1" applyFill="1" applyBorder="1" applyAlignment="1">
      <alignment horizontal="center"/>
    </xf>
    <xf numFmtId="0" fontId="58" fillId="36" borderId="23" xfId="0" applyFont="1" applyFill="1" applyBorder="1" applyAlignment="1">
      <alignment horizontal="center"/>
    </xf>
    <xf numFmtId="0" fontId="58" fillId="36" borderId="76" xfId="0" applyFont="1" applyFill="1" applyBorder="1" applyAlignment="1">
      <alignment horizontal="center"/>
    </xf>
    <xf numFmtId="0" fontId="58" fillId="36" borderId="37" xfId="0" applyFont="1" applyFill="1" applyBorder="1" applyAlignment="1">
      <alignment horizontal="center"/>
    </xf>
    <xf numFmtId="0" fontId="64" fillId="36" borderId="47" xfId="0" applyFont="1" applyFill="1" applyBorder="1" applyAlignment="1">
      <alignment horizontal="center"/>
    </xf>
    <xf numFmtId="0" fontId="64" fillId="36" borderId="39" xfId="0" applyFont="1" applyFill="1" applyBorder="1" applyAlignment="1">
      <alignment horizontal="center"/>
    </xf>
    <xf numFmtId="0" fontId="58" fillId="36" borderId="46" xfId="0" applyFont="1" applyFill="1" applyBorder="1" applyAlignment="1">
      <alignment horizontal="center"/>
    </xf>
    <xf numFmtId="0" fontId="58" fillId="36" borderId="45" xfId="0" applyFont="1" applyFill="1" applyBorder="1" applyAlignment="1">
      <alignment horizontal="center"/>
    </xf>
    <xf numFmtId="0" fontId="16" fillId="35" borderId="131" xfId="0" applyFont="1" applyFill="1" applyBorder="1" applyAlignment="1">
      <alignment horizontal="center"/>
    </xf>
    <xf numFmtId="174" fontId="16" fillId="35" borderId="123" xfId="0" applyNumberFormat="1" applyFont="1" applyFill="1" applyBorder="1" applyAlignment="1">
      <alignment horizontal="center"/>
    </xf>
    <xf numFmtId="2" fontId="16" fillId="35" borderId="123" xfId="0" applyNumberFormat="1" applyFont="1" applyFill="1" applyBorder="1" applyAlignment="1">
      <alignment horizontal="center"/>
    </xf>
    <xf numFmtId="175" fontId="16" fillId="35" borderId="132" xfId="0" applyNumberFormat="1" applyFont="1" applyFill="1" applyBorder="1" applyAlignment="1">
      <alignment horizontal="center"/>
    </xf>
    <xf numFmtId="174" fontId="16" fillId="35" borderId="88" xfId="0" applyNumberFormat="1" applyFont="1" applyFill="1" applyBorder="1" applyAlignment="1">
      <alignment horizontal="center"/>
    </xf>
    <xf numFmtId="0" fontId="16" fillId="35" borderId="132" xfId="0" applyFont="1" applyFill="1" applyBorder="1" applyAlignment="1">
      <alignment horizontal="center"/>
    </xf>
    <xf numFmtId="175" fontId="16" fillId="35" borderId="88" xfId="0" applyNumberFormat="1" applyFont="1" applyFill="1" applyBorder="1" applyAlignment="1">
      <alignment horizontal="center"/>
    </xf>
    <xf numFmtId="175" fontId="16" fillId="35" borderId="89" xfId="0" applyNumberFormat="1" applyFont="1" applyFill="1" applyBorder="1" applyAlignment="1">
      <alignment horizontal="center"/>
    </xf>
    <xf numFmtId="175" fontId="16" fillId="35" borderId="133" xfId="0" applyNumberFormat="1" applyFont="1" applyFill="1" applyBorder="1" applyAlignment="1">
      <alignment horizontal="center"/>
    </xf>
    <xf numFmtId="174" fontId="16" fillId="35" borderId="134" xfId="0" applyNumberFormat="1" applyFont="1" applyFill="1" applyBorder="1" applyAlignment="1">
      <alignment horizontal="center"/>
    </xf>
    <xf numFmtId="2" fontId="16" fillId="35" borderId="134" xfId="0" applyNumberFormat="1" applyFont="1" applyFill="1" applyBorder="1" applyAlignment="1">
      <alignment horizontal="center"/>
    </xf>
    <xf numFmtId="0" fontId="16" fillId="35" borderId="134" xfId="0" applyFont="1" applyFill="1" applyBorder="1" applyAlignment="1">
      <alignment horizontal="center"/>
    </xf>
    <xf numFmtId="0" fontId="16" fillId="35" borderId="49" xfId="0" applyFont="1" applyFill="1" applyBorder="1" applyAlignment="1">
      <alignment horizontal="center"/>
    </xf>
    <xf numFmtId="175" fontId="16" fillId="35" borderId="134" xfId="0" applyNumberFormat="1" applyFont="1" applyFill="1" applyBorder="1" applyAlignment="1">
      <alignment horizontal="center"/>
    </xf>
    <xf numFmtId="175" fontId="16" fillId="35" borderId="135" xfId="0" applyNumberFormat="1" applyFont="1" applyFill="1" applyBorder="1" applyAlignment="1">
      <alignment horizontal="center"/>
    </xf>
    <xf numFmtId="2" fontId="67" fillId="0" borderId="13" xfId="0" applyNumberFormat="1" applyFont="1" applyBorder="1" applyAlignment="1">
      <alignment/>
    </xf>
    <xf numFmtId="2" fontId="68" fillId="0" borderId="13" xfId="0" applyNumberFormat="1" applyFont="1" applyBorder="1" applyAlignment="1">
      <alignment horizontal="center"/>
    </xf>
    <xf numFmtId="2" fontId="50" fillId="0" borderId="0" xfId="0" applyNumberFormat="1" applyFont="1" applyBorder="1" applyAlignment="1">
      <alignment/>
    </xf>
    <xf numFmtId="2" fontId="61" fillId="0" borderId="0" xfId="0" applyNumberFormat="1" applyFont="1" applyBorder="1" applyAlignment="1">
      <alignment/>
    </xf>
    <xf numFmtId="2" fontId="69" fillId="0" borderId="0" xfId="0" applyNumberFormat="1" applyFont="1" applyBorder="1" applyAlignment="1">
      <alignment horizontal="right"/>
    </xf>
    <xf numFmtId="2" fontId="69" fillId="0" borderId="0" xfId="0" applyNumberFormat="1" applyFont="1" applyBorder="1" applyAlignment="1">
      <alignment/>
    </xf>
    <xf numFmtId="175" fontId="48" fillId="0" borderId="0" xfId="0" applyNumberFormat="1" applyFont="1" applyBorder="1" applyAlignment="1">
      <alignment horizontal="center"/>
    </xf>
    <xf numFmtId="2" fontId="47" fillId="0" borderId="27" xfId="0" applyNumberFormat="1" applyFont="1" applyBorder="1" applyAlignment="1">
      <alignment/>
    </xf>
    <xf numFmtId="2" fontId="48" fillId="0" borderId="0" xfId="0" applyNumberFormat="1" applyFont="1" applyAlignment="1">
      <alignment/>
    </xf>
    <xf numFmtId="2" fontId="31" fillId="0" borderId="83" xfId="0" applyNumberFormat="1" applyFont="1" applyBorder="1" applyAlignment="1">
      <alignment horizontal="center"/>
    </xf>
    <xf numFmtId="176" fontId="31" fillId="0" borderId="40" xfId="0" applyNumberFormat="1" applyFont="1" applyBorder="1" applyAlignment="1">
      <alignment horizontal="center"/>
    </xf>
    <xf numFmtId="175" fontId="16" fillId="35" borderId="136" xfId="0" applyNumberFormat="1" applyFont="1" applyFill="1" applyBorder="1" applyAlignment="1">
      <alignment horizontal="center"/>
    </xf>
    <xf numFmtId="2" fontId="16" fillId="35" borderId="99" xfId="0" applyNumberFormat="1" applyFont="1" applyFill="1" applyBorder="1" applyAlignment="1">
      <alignment horizontal="center"/>
    </xf>
    <xf numFmtId="0" fontId="16" fillId="35" borderId="99" xfId="0" applyFont="1" applyFill="1" applyBorder="1" applyAlignment="1">
      <alignment horizontal="center"/>
    </xf>
    <xf numFmtId="175" fontId="16" fillId="35" borderId="99" xfId="0" applyNumberFormat="1" applyFont="1" applyFill="1" applyBorder="1" applyAlignment="1">
      <alignment horizontal="center"/>
    </xf>
    <xf numFmtId="175" fontId="16" fillId="35" borderId="92" xfId="0" applyNumberFormat="1" applyFont="1" applyFill="1" applyBorder="1" applyAlignment="1">
      <alignment horizontal="center"/>
    </xf>
    <xf numFmtId="2" fontId="67" fillId="0" borderId="0" xfId="0" applyNumberFormat="1" applyFont="1" applyBorder="1" applyAlignment="1">
      <alignment/>
    </xf>
    <xf numFmtId="0" fontId="5" fillId="0" borderId="83" xfId="0" applyFont="1" applyBorder="1" applyAlignment="1">
      <alignment horizontal="center"/>
    </xf>
    <xf numFmtId="3" fontId="5" fillId="0" borderId="53" xfId="0" applyNumberFormat="1" applyFont="1" applyBorder="1" applyAlignment="1">
      <alignment horizontal="center"/>
    </xf>
    <xf numFmtId="2" fontId="5" fillId="0" borderId="40" xfId="0" applyNumberFormat="1" applyFont="1" applyBorder="1" applyAlignment="1">
      <alignment horizontal="center"/>
    </xf>
    <xf numFmtId="2" fontId="5" fillId="0" borderId="53" xfId="0" applyNumberFormat="1" applyFont="1" applyBorder="1" applyAlignment="1">
      <alignment horizontal="center"/>
    </xf>
    <xf numFmtId="0" fontId="16" fillId="35" borderId="137" xfId="0" applyFont="1" applyFill="1" applyBorder="1" applyAlignment="1">
      <alignment horizontal="center"/>
    </xf>
    <xf numFmtId="2" fontId="48" fillId="0" borderId="0" xfId="0" applyNumberFormat="1" applyFont="1" applyBorder="1" applyAlignment="1">
      <alignment/>
    </xf>
    <xf numFmtId="2" fontId="48" fillId="0" borderId="13" xfId="0" applyNumberFormat="1" applyFont="1" applyBorder="1" applyAlignment="1">
      <alignment horizontal="center"/>
    </xf>
    <xf numFmtId="2" fontId="49" fillId="0" borderId="13" xfId="0" applyNumberFormat="1" applyFont="1" applyBorder="1" applyAlignment="1">
      <alignment horizontal="center"/>
    </xf>
    <xf numFmtId="2" fontId="69" fillId="0" borderId="13" xfId="0" applyNumberFormat="1" applyFont="1" applyBorder="1" applyAlignment="1">
      <alignment/>
    </xf>
    <xf numFmtId="0" fontId="5" fillId="0" borderId="14" xfId="0" applyFont="1" applyBorder="1" applyAlignment="1">
      <alignment/>
    </xf>
    <xf numFmtId="3" fontId="5" fillId="0" borderId="40" xfId="0" applyNumberFormat="1" applyFont="1" applyBorder="1" applyAlignment="1">
      <alignment horizontal="center"/>
    </xf>
    <xf numFmtId="2" fontId="16" fillId="35" borderId="47" xfId="0" applyNumberFormat="1" applyFont="1" applyFill="1" applyBorder="1" applyAlignment="1">
      <alignment horizontal="center"/>
    </xf>
    <xf numFmtId="2" fontId="16" fillId="35" borderId="39" xfId="0" applyNumberFormat="1" applyFont="1" applyFill="1" applyBorder="1" applyAlignment="1">
      <alignment horizontal="center"/>
    </xf>
    <xf numFmtId="2" fontId="49" fillId="0" borderId="0" xfId="0" applyNumberFormat="1" applyFont="1" applyBorder="1" applyAlignment="1">
      <alignment horizontal="center"/>
    </xf>
    <xf numFmtId="2" fontId="5" fillId="0" borderId="83" xfId="0" applyNumberFormat="1" applyFont="1" applyBorder="1" applyAlignment="1">
      <alignment horizontal="center"/>
    </xf>
    <xf numFmtId="0" fontId="60" fillId="0" borderId="13" xfId="0" applyFont="1" applyBorder="1" applyAlignment="1">
      <alignment/>
    </xf>
    <xf numFmtId="2" fontId="47" fillId="0" borderId="0" xfId="0" applyNumberFormat="1" applyFont="1" applyBorder="1" applyAlignment="1">
      <alignment/>
    </xf>
    <xf numFmtId="0" fontId="30" fillId="0" borderId="13" xfId="0" applyFont="1" applyBorder="1" applyAlignment="1">
      <alignment horizontal="center"/>
    </xf>
    <xf numFmtId="0" fontId="36" fillId="34" borderId="138" xfId="0" applyFont="1" applyFill="1" applyBorder="1" applyAlignment="1">
      <alignment horizontal="center" vertical="center"/>
    </xf>
    <xf numFmtId="2" fontId="31" fillId="0" borderId="45" xfId="0" applyNumberFormat="1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51" xfId="0" applyBorder="1" applyAlignment="1">
      <alignment/>
    </xf>
    <xf numFmtId="0" fontId="0" fillId="0" borderId="83" xfId="0" applyBorder="1" applyAlignment="1">
      <alignment/>
    </xf>
    <xf numFmtId="0" fontId="0" fillId="0" borderId="139" xfId="0" applyBorder="1" applyAlignment="1">
      <alignment/>
    </xf>
    <xf numFmtId="0" fontId="0" fillId="0" borderId="53" xfId="0" applyBorder="1" applyAlignment="1">
      <alignment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2" fillId="0" borderId="26" xfId="0" applyFont="1" applyFill="1" applyBorder="1" applyAlignment="1">
      <alignment/>
    </xf>
    <xf numFmtId="2" fontId="0" fillId="0" borderId="27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/>
    </xf>
    <xf numFmtId="2" fontId="1" fillId="0" borderId="13" xfId="0" applyNumberFormat="1" applyFont="1" applyFill="1" applyBorder="1" applyAlignment="1">
      <alignment/>
    </xf>
    <xf numFmtId="2" fontId="0" fillId="0" borderId="13" xfId="0" applyNumberFormat="1" applyFill="1" applyBorder="1" applyAlignment="1">
      <alignment/>
    </xf>
    <xf numFmtId="2" fontId="0" fillId="0" borderId="16" xfId="0" applyNumberFormat="1" applyFill="1" applyBorder="1" applyAlignment="1">
      <alignment/>
    </xf>
    <xf numFmtId="0" fontId="34" fillId="35" borderId="83" xfId="0" applyFont="1" applyFill="1" applyBorder="1" applyAlignment="1">
      <alignment horizontal="center"/>
    </xf>
    <xf numFmtId="0" fontId="34" fillId="35" borderId="139" xfId="0" applyFont="1" applyFill="1" applyBorder="1" applyAlignment="1">
      <alignment horizontal="center"/>
    </xf>
    <xf numFmtId="0" fontId="34" fillId="35" borderId="53" xfId="0" applyFont="1" applyFill="1" applyBorder="1" applyAlignment="1">
      <alignment horizontal="center"/>
    </xf>
    <xf numFmtId="0" fontId="40" fillId="34" borderId="83" xfId="0" applyFont="1" applyFill="1" applyBorder="1" applyAlignment="1">
      <alignment horizontal="center"/>
    </xf>
    <xf numFmtId="0" fontId="40" fillId="34" borderId="139" xfId="0" applyFont="1" applyFill="1" applyBorder="1" applyAlignment="1">
      <alignment horizontal="center"/>
    </xf>
    <xf numFmtId="0" fontId="40" fillId="34" borderId="53" xfId="0" applyFont="1" applyFill="1" applyBorder="1" applyAlignment="1">
      <alignment horizontal="center"/>
    </xf>
    <xf numFmtId="0" fontId="34" fillId="35" borderId="83" xfId="0" applyFont="1" applyFill="1" applyBorder="1" applyAlignment="1">
      <alignment horizontal="center"/>
    </xf>
    <xf numFmtId="0" fontId="34" fillId="35" borderId="139" xfId="0" applyFont="1" applyFill="1" applyBorder="1" applyAlignment="1">
      <alignment horizontal="center"/>
    </xf>
    <xf numFmtId="0" fontId="34" fillId="35" borderId="53" xfId="0" applyFont="1" applyFill="1" applyBorder="1" applyAlignment="1">
      <alignment horizontal="center"/>
    </xf>
    <xf numFmtId="0" fontId="36" fillId="34" borderId="50" xfId="0" applyFont="1" applyFill="1" applyBorder="1" applyAlignment="1">
      <alignment horizontal="center" vertical="center"/>
    </xf>
    <xf numFmtId="0" fontId="36" fillId="34" borderId="41" xfId="0" applyFont="1" applyFill="1" applyBorder="1" applyAlignment="1">
      <alignment horizontal="center" vertical="center"/>
    </xf>
    <xf numFmtId="0" fontId="36" fillId="34" borderId="83" xfId="0" applyFont="1" applyFill="1" applyBorder="1" applyAlignment="1">
      <alignment horizontal="center" vertical="center"/>
    </xf>
    <xf numFmtId="0" fontId="36" fillId="34" borderId="53" xfId="0" applyFont="1" applyFill="1" applyBorder="1" applyAlignment="1">
      <alignment horizontal="center" vertical="center"/>
    </xf>
    <xf numFmtId="0" fontId="28" fillId="36" borderId="140" xfId="0" applyFont="1" applyFill="1" applyBorder="1" applyAlignment="1">
      <alignment horizontal="left"/>
    </xf>
    <xf numFmtId="0" fontId="28" fillId="36" borderId="141" xfId="0" applyFont="1" applyFill="1" applyBorder="1" applyAlignment="1">
      <alignment horizontal="left"/>
    </xf>
    <xf numFmtId="0" fontId="28" fillId="36" borderId="46" xfId="0" applyFont="1" applyFill="1" applyBorder="1" applyAlignment="1">
      <alignment horizontal="left"/>
    </xf>
    <xf numFmtId="0" fontId="28" fillId="36" borderId="142" xfId="0" applyFont="1" applyFill="1" applyBorder="1" applyAlignment="1">
      <alignment horizontal="left"/>
    </xf>
    <xf numFmtId="0" fontId="28" fillId="36" borderId="143" xfId="0" applyFont="1" applyFill="1" applyBorder="1" applyAlignment="1">
      <alignment horizontal="left"/>
    </xf>
    <xf numFmtId="0" fontId="28" fillId="36" borderId="144" xfId="0" applyFont="1" applyFill="1" applyBorder="1" applyAlignment="1">
      <alignment horizontal="left"/>
    </xf>
    <xf numFmtId="0" fontId="39" fillId="35" borderId="145" xfId="0" applyFont="1" applyFill="1" applyBorder="1" applyAlignment="1">
      <alignment horizontal="center" vertical="center"/>
    </xf>
    <xf numFmtId="0" fontId="39" fillId="35" borderId="146" xfId="0" applyFont="1" applyFill="1" applyBorder="1" applyAlignment="1">
      <alignment horizontal="center" vertical="center"/>
    </xf>
    <xf numFmtId="0" fontId="39" fillId="35" borderId="83" xfId="0" applyFont="1" applyFill="1" applyBorder="1" applyAlignment="1">
      <alignment horizontal="center" vertical="center"/>
    </xf>
    <xf numFmtId="0" fontId="39" fillId="35" borderId="53" xfId="0" applyFont="1" applyFill="1" applyBorder="1" applyAlignment="1">
      <alignment horizontal="center" vertical="center"/>
    </xf>
    <xf numFmtId="0" fontId="36" fillId="34" borderId="138" xfId="0" applyFont="1" applyFill="1" applyBorder="1" applyAlignment="1">
      <alignment horizontal="center" vertical="center"/>
    </xf>
    <xf numFmtId="0" fontId="41" fillId="0" borderId="26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2" fontId="32" fillId="36" borderId="50" xfId="0" applyNumberFormat="1" applyFont="1" applyFill="1" applyBorder="1" applyAlignment="1">
      <alignment horizontal="center" vertical="center"/>
    </xf>
    <xf numFmtId="2" fontId="32" fillId="36" borderId="41" xfId="0" applyNumberFormat="1" applyFont="1" applyFill="1" applyBorder="1" applyAlignment="1">
      <alignment horizontal="center" vertical="center"/>
    </xf>
    <xf numFmtId="0" fontId="40" fillId="34" borderId="83" xfId="0" applyFont="1" applyFill="1" applyBorder="1" applyAlignment="1">
      <alignment horizontal="center"/>
    </xf>
    <xf numFmtId="0" fontId="40" fillId="34" borderId="139" xfId="0" applyFont="1" applyFill="1" applyBorder="1" applyAlignment="1">
      <alignment horizontal="center"/>
    </xf>
    <xf numFmtId="0" fontId="40" fillId="34" borderId="53" xfId="0" applyFont="1" applyFill="1" applyBorder="1" applyAlignment="1">
      <alignment horizontal="center"/>
    </xf>
    <xf numFmtId="0" fontId="28" fillId="36" borderId="147" xfId="0" applyFont="1" applyFill="1" applyBorder="1" applyAlignment="1">
      <alignment horizontal="left"/>
    </xf>
    <xf numFmtId="0" fontId="28" fillId="36" borderId="148" xfId="0" applyFont="1" applyFill="1" applyBorder="1" applyAlignment="1">
      <alignment horizontal="left"/>
    </xf>
    <xf numFmtId="0" fontId="28" fillId="36" borderId="149" xfId="0" applyFont="1" applyFill="1" applyBorder="1" applyAlignment="1">
      <alignment horizontal="left"/>
    </xf>
    <xf numFmtId="2" fontId="32" fillId="36" borderId="150" xfId="0" applyNumberFormat="1" applyFont="1" applyFill="1" applyBorder="1" applyAlignment="1">
      <alignment horizontal="center" vertical="center"/>
    </xf>
    <xf numFmtId="2" fontId="32" fillId="36" borderId="115" xfId="0" applyNumberFormat="1" applyFont="1" applyFill="1" applyBorder="1" applyAlignment="1">
      <alignment horizontal="center" vertical="center"/>
    </xf>
    <xf numFmtId="2" fontId="33" fillId="36" borderId="50" xfId="0" applyNumberFormat="1" applyFont="1" applyFill="1" applyBorder="1" applyAlignment="1">
      <alignment horizontal="center" vertical="center"/>
    </xf>
    <xf numFmtId="2" fontId="33" fillId="36" borderId="41" xfId="0" applyNumberFormat="1" applyFont="1" applyFill="1" applyBorder="1" applyAlignment="1">
      <alignment horizontal="center" vertical="center"/>
    </xf>
    <xf numFmtId="2" fontId="33" fillId="36" borderId="151" xfId="0" applyNumberFormat="1" applyFont="1" applyFill="1" applyBorder="1" applyAlignment="1">
      <alignment horizontal="center" vertical="center"/>
    </xf>
    <xf numFmtId="2" fontId="33" fillId="36" borderId="45" xfId="0" applyNumberFormat="1" applyFont="1" applyFill="1" applyBorder="1" applyAlignment="1">
      <alignment horizontal="center" vertical="center"/>
    </xf>
    <xf numFmtId="0" fontId="51" fillId="34" borderId="83" xfId="0" applyFont="1" applyFill="1" applyBorder="1" applyAlignment="1">
      <alignment horizontal="center"/>
    </xf>
    <xf numFmtId="0" fontId="51" fillId="34" borderId="139" xfId="0" applyFont="1" applyFill="1" applyBorder="1" applyAlignment="1">
      <alignment horizontal="center"/>
    </xf>
    <xf numFmtId="0" fontId="51" fillId="34" borderId="53" xfId="0" applyFont="1" applyFill="1" applyBorder="1" applyAlignment="1">
      <alignment horizontal="center"/>
    </xf>
    <xf numFmtId="0" fontId="52" fillId="35" borderId="152" xfId="0" applyFont="1" applyFill="1" applyBorder="1" applyAlignment="1">
      <alignment horizontal="center"/>
    </xf>
    <xf numFmtId="0" fontId="52" fillId="35" borderId="32" xfId="0" applyFont="1" applyFill="1" applyBorder="1" applyAlignment="1">
      <alignment horizontal="center"/>
    </xf>
    <xf numFmtId="0" fontId="52" fillId="35" borderId="153" xfId="0" applyFont="1" applyFill="1" applyBorder="1" applyAlignment="1">
      <alignment horizontal="center"/>
    </xf>
    <xf numFmtId="0" fontId="52" fillId="35" borderId="33" xfId="0" applyFont="1" applyFill="1" applyBorder="1" applyAlignment="1">
      <alignment horizontal="center"/>
    </xf>
    <xf numFmtId="0" fontId="52" fillId="35" borderId="154" xfId="0" applyFont="1" applyFill="1" applyBorder="1" applyAlignment="1">
      <alignment horizontal="center"/>
    </xf>
    <xf numFmtId="0" fontId="52" fillId="35" borderId="110" xfId="0" applyFont="1" applyFill="1" applyBorder="1" applyAlignment="1">
      <alignment horizontal="center"/>
    </xf>
    <xf numFmtId="0" fontId="51" fillId="0" borderId="26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6" fillId="0" borderId="28" xfId="0" applyFont="1" applyBorder="1" applyAlignment="1">
      <alignment horizontal="center"/>
    </xf>
    <xf numFmtId="0" fontId="56" fillId="0" borderId="25" xfId="0" applyFont="1" applyBorder="1" applyAlignment="1">
      <alignment horizontal="center"/>
    </xf>
    <xf numFmtId="0" fontId="59" fillId="0" borderId="26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8" fillId="36" borderId="38" xfId="0" applyFont="1" applyFill="1" applyBorder="1" applyAlignment="1">
      <alignment horizontal="center"/>
    </xf>
    <xf numFmtId="0" fontId="58" fillId="36" borderId="37" xfId="0" applyFont="1" applyFill="1" applyBorder="1" applyAlignment="1">
      <alignment horizontal="center"/>
    </xf>
    <xf numFmtId="0" fontId="65" fillId="34" borderId="83" xfId="0" applyFont="1" applyFill="1" applyBorder="1" applyAlignment="1">
      <alignment horizontal="center"/>
    </xf>
    <xf numFmtId="0" fontId="65" fillId="34" borderId="139" xfId="0" applyFont="1" applyFill="1" applyBorder="1" applyAlignment="1">
      <alignment horizontal="center"/>
    </xf>
    <xf numFmtId="0" fontId="65" fillId="34" borderId="53" xfId="0" applyFont="1" applyFill="1" applyBorder="1" applyAlignment="1">
      <alignment horizontal="center"/>
    </xf>
    <xf numFmtId="0" fontId="58" fillId="36" borderId="47" xfId="0" applyFont="1" applyFill="1" applyBorder="1" applyAlignment="1">
      <alignment horizontal="center"/>
    </xf>
    <xf numFmtId="0" fontId="58" fillId="36" borderId="39" xfId="0" applyFont="1" applyFill="1" applyBorder="1" applyAlignment="1">
      <alignment horizontal="center"/>
    </xf>
    <xf numFmtId="0" fontId="58" fillId="36" borderId="155" xfId="0" applyFont="1" applyFill="1" applyBorder="1" applyAlignment="1">
      <alignment horizontal="center" vertical="center"/>
    </xf>
    <xf numFmtId="0" fontId="58" fillId="36" borderId="128" xfId="0" applyFont="1" applyFill="1" applyBorder="1" applyAlignment="1">
      <alignment horizontal="center" vertical="center"/>
    </xf>
    <xf numFmtId="0" fontId="58" fillId="36" borderId="46" xfId="0" applyFont="1" applyFill="1" applyBorder="1" applyAlignment="1">
      <alignment horizontal="center" vertical="center"/>
    </xf>
    <xf numFmtId="0" fontId="58" fillId="36" borderId="47" xfId="0" applyFont="1" applyFill="1" applyBorder="1" applyAlignment="1">
      <alignment horizontal="center" vertical="center"/>
    </xf>
    <xf numFmtId="0" fontId="58" fillId="36" borderId="128" xfId="0" applyFont="1" applyFill="1" applyBorder="1" applyAlignment="1">
      <alignment horizontal="center"/>
    </xf>
    <xf numFmtId="0" fontId="58" fillId="36" borderId="156" xfId="0" applyFont="1" applyFill="1" applyBorder="1" applyAlignment="1">
      <alignment horizontal="center"/>
    </xf>
    <xf numFmtId="174" fontId="16" fillId="37" borderId="91" xfId="0" applyNumberFormat="1" applyFont="1" applyFill="1" applyBorder="1" applyAlignment="1">
      <alignment horizontal="center"/>
    </xf>
    <xf numFmtId="174" fontId="16" fillId="37" borderId="105" xfId="0" applyNumberFormat="1" applyFont="1" applyFill="1" applyBorder="1" applyAlignment="1">
      <alignment horizontal="center"/>
    </xf>
    <xf numFmtId="2" fontId="66" fillId="0" borderId="14" xfId="0" applyNumberFormat="1" applyFont="1" applyBorder="1" applyAlignment="1">
      <alignment horizontal="center"/>
    </xf>
    <xf numFmtId="2" fontId="66" fillId="0" borderId="0" xfId="0" applyNumberFormat="1" applyFont="1" applyBorder="1" applyAlignment="1">
      <alignment horizontal="center"/>
    </xf>
    <xf numFmtId="0" fontId="31" fillId="0" borderId="83" xfId="0" applyFont="1" applyBorder="1" applyAlignment="1">
      <alignment horizontal="center"/>
    </xf>
    <xf numFmtId="0" fontId="31" fillId="0" borderId="53" xfId="0" applyFont="1" applyBorder="1" applyAlignment="1">
      <alignment horizontal="center"/>
    </xf>
    <xf numFmtId="0" fontId="16" fillId="37" borderId="157" xfId="0" applyFont="1" applyFill="1" applyBorder="1" applyAlignment="1">
      <alignment horizontal="center"/>
    </xf>
    <xf numFmtId="0" fontId="16" fillId="37" borderId="86" xfId="0" applyFont="1" applyFill="1" applyBorder="1" applyAlignment="1">
      <alignment horizontal="center"/>
    </xf>
    <xf numFmtId="0" fontId="16" fillId="37" borderId="158" xfId="0" applyFont="1" applyFill="1" applyBorder="1" applyAlignment="1">
      <alignment horizontal="center"/>
    </xf>
    <xf numFmtId="0" fontId="16" fillId="37" borderId="116" xfId="0" applyFont="1" applyFill="1" applyBorder="1" applyAlignment="1">
      <alignment horizontal="center"/>
    </xf>
    <xf numFmtId="0" fontId="16" fillId="37" borderId="159" xfId="0" applyFont="1" applyFill="1" applyBorder="1" applyAlignment="1">
      <alignment horizontal="center"/>
    </xf>
    <xf numFmtId="0" fontId="16" fillId="37" borderId="25" xfId="0" applyFont="1" applyFill="1" applyBorder="1" applyAlignment="1">
      <alignment horizontal="center"/>
    </xf>
    <xf numFmtId="0" fontId="16" fillId="37" borderId="103" xfId="0" applyFont="1" applyFill="1" applyBorder="1" applyAlignment="1">
      <alignment horizontal="center"/>
    </xf>
    <xf numFmtId="0" fontId="58" fillId="36" borderId="31" xfId="0" applyFont="1" applyFill="1" applyBorder="1" applyAlignment="1">
      <alignment horizontal="center"/>
    </xf>
    <xf numFmtId="0" fontId="58" fillId="36" borderId="160" xfId="0" applyFont="1" applyFill="1" applyBorder="1" applyAlignment="1">
      <alignment horizontal="center"/>
    </xf>
    <xf numFmtId="0" fontId="41" fillId="0" borderId="161" xfId="0" applyFont="1" applyBorder="1" applyAlignment="1">
      <alignment horizontal="center"/>
    </xf>
    <xf numFmtId="0" fontId="41" fillId="0" borderId="162" xfId="0" applyFont="1" applyBorder="1" applyAlignment="1">
      <alignment horizontal="center"/>
    </xf>
    <xf numFmtId="0" fontId="41" fillId="0" borderId="163" xfId="0" applyFont="1" applyBorder="1" applyAlignment="1">
      <alignment horizontal="center"/>
    </xf>
    <xf numFmtId="0" fontId="58" fillId="36" borderId="164" xfId="0" applyFont="1" applyFill="1" applyBorder="1" applyAlignment="1">
      <alignment horizontal="center"/>
    </xf>
    <xf numFmtId="0" fontId="16" fillId="35" borderId="52" xfId="0" applyFont="1" applyFill="1" applyBorder="1" applyAlignment="1">
      <alignment horizontal="center"/>
    </xf>
    <xf numFmtId="0" fontId="0" fillId="35" borderId="76" xfId="0" applyFill="1" applyBorder="1" applyAlignment="1">
      <alignment horizontal="center"/>
    </xf>
    <xf numFmtId="0" fontId="0" fillId="35" borderId="45" xfId="0" applyFill="1" applyBorder="1" applyAlignment="1">
      <alignment horizontal="center"/>
    </xf>
    <xf numFmtId="14" fontId="16" fillId="35" borderId="46" xfId="0" applyNumberFormat="1" applyFont="1" applyFill="1" applyBorder="1" applyAlignment="1">
      <alignment horizontal="center"/>
    </xf>
    <xf numFmtId="14" fontId="16" fillId="35" borderId="47" xfId="0" applyNumberFormat="1" applyFont="1" applyFill="1" applyBorder="1" applyAlignment="1">
      <alignment horizontal="center"/>
    </xf>
    <xf numFmtId="1" fontId="16" fillId="37" borderId="25" xfId="0" applyNumberFormat="1" applyFont="1" applyFill="1" applyBorder="1" applyAlignment="1">
      <alignment horizontal="center"/>
    </xf>
    <xf numFmtId="1" fontId="16" fillId="37" borderId="103" xfId="0" applyNumberFormat="1" applyFont="1" applyFill="1" applyBorder="1" applyAlignment="1">
      <alignment horizontal="center"/>
    </xf>
    <xf numFmtId="1" fontId="16" fillId="37" borderId="159" xfId="0" applyNumberFormat="1" applyFont="1" applyFill="1" applyBorder="1" applyAlignment="1">
      <alignment horizontal="center"/>
    </xf>
    <xf numFmtId="174" fontId="16" fillId="37" borderId="118" xfId="0" applyNumberFormat="1" applyFont="1" applyFill="1" applyBorder="1" applyAlignment="1">
      <alignment horizontal="center"/>
    </xf>
    <xf numFmtId="174" fontId="16" fillId="37" borderId="119" xfId="0" applyNumberFormat="1" applyFont="1" applyFill="1" applyBorder="1" applyAlignment="1">
      <alignment horizontal="center"/>
    </xf>
    <xf numFmtId="2" fontId="16" fillId="37" borderId="25" xfId="0" applyNumberFormat="1" applyFont="1" applyFill="1" applyBorder="1" applyAlignment="1">
      <alignment horizontal="center"/>
    </xf>
    <xf numFmtId="2" fontId="16" fillId="37" borderId="103" xfId="0" applyNumberFormat="1" applyFont="1" applyFill="1" applyBorder="1" applyAlignment="1">
      <alignment horizontal="center"/>
    </xf>
    <xf numFmtId="1" fontId="16" fillId="37" borderId="121" xfId="0" applyNumberFormat="1" applyFont="1" applyFill="1" applyBorder="1" applyAlignment="1">
      <alignment horizontal="center"/>
    </xf>
    <xf numFmtId="0" fontId="16" fillId="37" borderId="122" xfId="0" applyFont="1" applyFill="1" applyBorder="1" applyAlignment="1">
      <alignment horizontal="center"/>
    </xf>
    <xf numFmtId="0" fontId="16" fillId="37" borderId="165" xfId="0" applyFont="1" applyFill="1" applyBorder="1" applyAlignment="1">
      <alignment horizontal="center"/>
    </xf>
    <xf numFmtId="0" fontId="16" fillId="37" borderId="118" xfId="0" applyFont="1" applyFill="1" applyBorder="1" applyAlignment="1">
      <alignment horizontal="center"/>
    </xf>
    <xf numFmtId="0" fontId="16" fillId="37" borderId="119" xfId="0" applyFont="1" applyFill="1" applyBorder="1" applyAlignment="1">
      <alignment horizontal="center"/>
    </xf>
    <xf numFmtId="0" fontId="16" fillId="37" borderId="166" xfId="0" applyFont="1" applyFill="1" applyBorder="1" applyAlignment="1">
      <alignment horizontal="center"/>
    </xf>
    <xf numFmtId="0" fontId="16" fillId="37" borderId="38" xfId="0" applyFont="1" applyFill="1" applyBorder="1" applyAlignment="1">
      <alignment horizontal="center"/>
    </xf>
    <xf numFmtId="0" fontId="16" fillId="37" borderId="37" xfId="0" applyFont="1" applyFill="1" applyBorder="1" applyAlignment="1">
      <alignment horizontal="center"/>
    </xf>
    <xf numFmtId="0" fontId="61" fillId="0" borderId="23" xfId="0" applyFont="1" applyBorder="1" applyAlignment="1">
      <alignment horizontal="center"/>
    </xf>
    <xf numFmtId="0" fontId="42" fillId="35" borderId="167" xfId="0" applyFont="1" applyFill="1" applyBorder="1" applyAlignment="1">
      <alignment horizontal="center"/>
    </xf>
    <xf numFmtId="0" fontId="42" fillId="35" borderId="168" xfId="0" applyFont="1" applyFill="1" applyBorder="1" applyAlignment="1">
      <alignment horizontal="center"/>
    </xf>
    <xf numFmtId="0" fontId="16" fillId="37" borderId="68" xfId="0" applyFont="1" applyFill="1" applyBorder="1" applyAlignment="1">
      <alignment horizontal="center"/>
    </xf>
    <xf numFmtId="0" fontId="5" fillId="0" borderId="83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28" fillId="36" borderId="152" xfId="0" applyFont="1" applyFill="1" applyBorder="1" applyAlignment="1">
      <alignment horizontal="center"/>
    </xf>
    <xf numFmtId="0" fontId="28" fillId="36" borderId="169" xfId="0" applyFont="1" applyFill="1" applyBorder="1" applyAlignment="1">
      <alignment horizontal="center"/>
    </xf>
    <xf numFmtId="0" fontId="28" fillId="36" borderId="32" xfId="0" applyFont="1" applyFill="1" applyBorder="1" applyAlignment="1">
      <alignment horizontal="center"/>
    </xf>
    <xf numFmtId="0" fontId="28" fillId="36" borderId="153" xfId="0" applyFont="1" applyFill="1" applyBorder="1" applyAlignment="1">
      <alignment horizontal="center"/>
    </xf>
    <xf numFmtId="0" fontId="28" fillId="36" borderId="11" xfId="0" applyFont="1" applyFill="1" applyBorder="1" applyAlignment="1">
      <alignment horizontal="center"/>
    </xf>
    <xf numFmtId="0" fontId="28" fillId="36" borderId="33" xfId="0" applyFont="1" applyFill="1" applyBorder="1" applyAlignment="1">
      <alignment horizontal="center"/>
    </xf>
    <xf numFmtId="0" fontId="28" fillId="36" borderId="154" xfId="0" applyFont="1" applyFill="1" applyBorder="1" applyAlignment="1">
      <alignment horizontal="center"/>
    </xf>
    <xf numFmtId="0" fontId="28" fillId="36" borderId="170" xfId="0" applyFont="1" applyFill="1" applyBorder="1" applyAlignment="1">
      <alignment horizontal="center"/>
    </xf>
    <xf numFmtId="0" fontId="28" fillId="36" borderId="110" xfId="0" applyFont="1" applyFill="1" applyBorder="1" applyAlignment="1">
      <alignment horizontal="center"/>
    </xf>
    <xf numFmtId="14" fontId="16" fillId="35" borderId="171" xfId="0" applyNumberFormat="1" applyFont="1" applyFill="1" applyBorder="1" applyAlignment="1">
      <alignment horizontal="center"/>
    </xf>
    <xf numFmtId="14" fontId="16" fillId="35" borderId="127" xfId="0" applyNumberFormat="1" applyFont="1" applyFill="1" applyBorder="1" applyAlignment="1">
      <alignment horizontal="center"/>
    </xf>
    <xf numFmtId="0" fontId="0" fillId="35" borderId="137" xfId="0" applyFill="1" applyBorder="1" applyAlignment="1">
      <alignment horizontal="center"/>
    </xf>
    <xf numFmtId="174" fontId="16" fillId="37" borderId="172" xfId="0" applyNumberFormat="1" applyFont="1" applyFill="1" applyBorder="1" applyAlignment="1">
      <alignment horizontal="center"/>
    </xf>
    <xf numFmtId="174" fontId="16" fillId="37" borderId="165" xfId="0" applyNumberFormat="1" applyFont="1" applyFill="1" applyBorder="1" applyAlignment="1">
      <alignment horizontal="center"/>
    </xf>
    <xf numFmtId="2" fontId="16" fillId="37" borderId="159" xfId="0" applyNumberFormat="1" applyFont="1" applyFill="1" applyBorder="1" applyAlignment="1">
      <alignment horizontal="center"/>
    </xf>
    <xf numFmtId="0" fontId="63" fillId="37" borderId="38" xfId="0" applyFont="1" applyFill="1" applyBorder="1" applyAlignment="1">
      <alignment horizontal="center"/>
    </xf>
    <xf numFmtId="0" fontId="63" fillId="37" borderId="37" xfId="0" applyFont="1" applyFill="1" applyBorder="1" applyAlignment="1">
      <alignment horizontal="center"/>
    </xf>
    <xf numFmtId="1" fontId="16" fillId="37" borderId="173" xfId="0" applyNumberFormat="1" applyFont="1" applyFill="1" applyBorder="1" applyAlignment="1">
      <alignment horizontal="center"/>
    </xf>
    <xf numFmtId="0" fontId="16" fillId="35" borderId="76" xfId="0" applyFont="1" applyFill="1" applyBorder="1" applyAlignment="1">
      <alignment horizontal="center"/>
    </xf>
    <xf numFmtId="0" fontId="16" fillId="35" borderId="45" xfId="0" applyFont="1" applyFill="1" applyBorder="1" applyAlignment="1">
      <alignment horizontal="center"/>
    </xf>
    <xf numFmtId="0" fontId="31" fillId="36" borderId="113" xfId="0" applyFont="1" applyFill="1" applyBorder="1" applyAlignment="1">
      <alignment horizontal="center"/>
    </xf>
    <xf numFmtId="0" fontId="31" fillId="36" borderId="114" xfId="0" applyFont="1" applyFill="1" applyBorder="1" applyAlignment="1">
      <alignment horizontal="center"/>
    </xf>
    <xf numFmtId="2" fontId="66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sng" baseline="0">
                <a:solidFill>
                  <a:srgbClr val="800000"/>
                </a:solidFill>
              </a:rPr>
              <a:t>COMPACTACION
</a:t>
            </a:r>
          </a:p>
        </c:rich>
      </c:tx>
      <c:layout>
        <c:manualLayout>
          <c:xMode val="factor"/>
          <c:yMode val="factor"/>
          <c:x val="0.03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125"/>
          <c:y val="0.169"/>
          <c:w val="0.88025"/>
          <c:h val="0.702"/>
        </c:manualLayout>
      </c:layout>
      <c:scatterChart>
        <c:scatterStyle val="smoothMarker"/>
        <c:varyColors val="0"/>
        <c:ser>
          <c:idx val="0"/>
          <c:order val="0"/>
          <c:tx>
            <c:v>compactacion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compactacion!$D$23:$G$23</c:f>
              <c:numCache/>
            </c:numRef>
          </c:xVal>
          <c:yVal>
            <c:numRef>
              <c:f>compactacion!$D$24:$G$24</c:f>
              <c:numCache/>
            </c:numRef>
          </c:yVal>
          <c:smooth val="1"/>
        </c:ser>
        <c:axId val="15926140"/>
        <c:axId val="9117533"/>
      </c:scatterChart>
      <c:valAx>
        <c:axId val="15926140"/>
        <c:scaling>
          <c:orientation val="minMax"/>
          <c:max val="30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Contenido de humedad</a:t>
                </a:r>
              </a:p>
            </c:rich>
          </c:tx>
          <c:layout>
            <c:manualLayout>
              <c:xMode val="factor"/>
              <c:yMode val="factor"/>
              <c:x val="-0.045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117533"/>
        <c:crosses val="autoZero"/>
        <c:crossBetween val="midCat"/>
        <c:dispUnits/>
      </c:valAx>
      <c:valAx>
        <c:axId val="9117533"/>
        <c:scaling>
          <c:orientation val="minMax"/>
          <c:max val="1.8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Densidad de suelo seco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926140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8100">
      <a:solidFill>
        <a:srgbClr val="008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sng" baseline="0">
                <a:solidFill>
                  <a:srgbClr val="800000"/>
                </a:solidFill>
              </a:rPr>
              <a:t>CURVA:  C.B.R.  -  PESO UNITARIO</a:t>
            </a:r>
          </a:p>
        </c:rich>
      </c:tx>
      <c:layout>
        <c:manualLayout>
          <c:xMode val="factor"/>
          <c:yMode val="factor"/>
          <c:x val="0.025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068"/>
          <c:w val="0.91925"/>
          <c:h val="0.879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25400">
                <a:solidFill>
                  <a:srgbClr val="000000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25400">
                <a:solidFill>
                  <a:srgbClr val="000000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'C.B.R.'!$P$209:$P$213</c:f>
              <c:numCache/>
            </c:numRef>
          </c:xVal>
          <c:yVal>
            <c:numRef>
              <c:f>'C.B.R.'!$Q$209:$Q$213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'C.B.R.'!$O$218:$O$219</c:f>
              <c:numCache/>
            </c:numRef>
          </c:xVal>
          <c:yVal>
            <c:numRef>
              <c:f>'C.B.R.'!$P$218:$P$219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1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FFFF00"/>
                </a:solidFill>
                <a:ln>
                  <a:solidFill>
                    <a:srgbClr val="FFFF00"/>
                  </a:solidFill>
                </a:ln>
              </c:spPr>
            </c:marker>
          </c:dPt>
          <c:xVal>
            <c:numRef>
              <c:f>'C.B.R.'!$O$223:$O$224</c:f>
              <c:numCache/>
            </c:numRef>
          </c:xVal>
          <c:yVal>
            <c:numRef>
              <c:f>'C.B.R.'!$P$223:$P$224</c:f>
              <c:numCache/>
            </c:numRef>
          </c:yVal>
          <c:smooth val="1"/>
        </c:ser>
        <c:axId val="29751574"/>
        <c:axId val="66437575"/>
      </c:scatterChart>
      <c:valAx>
        <c:axId val="29751574"/>
        <c:scaling>
          <c:orientation val="minMax"/>
          <c:max val="110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C.B.R. [%]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437575"/>
        <c:crosses val="autoZero"/>
        <c:crossBetween val="midCat"/>
        <c:dispUnits/>
        <c:majorUnit val="10"/>
        <c:minorUnit val="10"/>
      </c:valAx>
      <c:valAx>
        <c:axId val="66437575"/>
        <c:scaling>
          <c:orientation val="minMax"/>
          <c:max val="1.9"/>
          <c:min val="1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Peso Unitario Seco [gr/cm3]</a:t>
                </a:r>
              </a:p>
            </c:rich>
          </c:tx>
          <c:layout>
            <c:manualLayout>
              <c:xMode val="factor"/>
              <c:yMode val="factor"/>
              <c:x val="-0.02025"/>
              <c:y val="0.01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751574"/>
        <c:crosses val="autoZero"/>
        <c:crossBetween val="midCat"/>
        <c:dispUnits/>
        <c:majorUnit val="0.1"/>
        <c:minorUnit val="0.05"/>
      </c:valAx>
      <c:spPr>
        <a:solidFill>
          <a:srgbClr val="FFFF9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CC99"/>
    </a:solidFill>
    <a:ln w="38100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sng" baseline="0">
                <a:solidFill>
                  <a:srgbClr val="800000"/>
                </a:solidFill>
              </a:rPr>
              <a:t>CURVA: CARGA - PENETRACION</a:t>
            </a:r>
          </a:p>
        </c:rich>
      </c:tx>
      <c:layout>
        <c:manualLayout>
          <c:xMode val="factor"/>
          <c:yMode val="factor"/>
          <c:x val="-0.022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073"/>
          <c:w val="0.963"/>
          <c:h val="0.895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'C.B.R.'!$O$301:$O$309</c:f>
              <c:numCache/>
            </c:numRef>
          </c:xVal>
          <c:yVal>
            <c:numRef>
              <c:f>'C.B.R.'!$P$301:$P$309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'C.B.R.'!$O$301:$O$309</c:f>
              <c:numCache/>
            </c:numRef>
          </c:xVal>
          <c:yVal>
            <c:numRef>
              <c:f>'C.B.R.'!$Q$301:$Q$309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'C.B.R.'!$O$301:$O$309</c:f>
              <c:numCache/>
            </c:numRef>
          </c:xVal>
          <c:yVal>
            <c:numRef>
              <c:f>'C.B.R.'!$R$301:$R$309</c:f>
              <c:numCache/>
            </c:numRef>
          </c:yVal>
          <c:smooth val="1"/>
        </c:ser>
        <c:axId val="61067264"/>
        <c:axId val="12734465"/>
      </c:scatterChart>
      <c:valAx>
        <c:axId val="61067264"/>
        <c:scaling>
          <c:orientation val="minMax"/>
          <c:max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Penetración [plg]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734465"/>
        <c:crosses val="autoZero"/>
        <c:crossBetween val="midCat"/>
        <c:dispUnits/>
        <c:majorUnit val="0.1"/>
        <c:minorUnit val="0.025"/>
      </c:valAx>
      <c:valAx>
        <c:axId val="127344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Carga en [libras]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067264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195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sng" baseline="0">
                <a:solidFill>
                  <a:srgbClr val="800000"/>
                </a:solidFill>
              </a:rPr>
              <a:t>CURVA:  C.B.R.  -  PESO UNITARIO</a:t>
            </a:r>
          </a:p>
        </c:rich>
      </c:tx>
      <c:layout>
        <c:manualLayout>
          <c:xMode val="factor"/>
          <c:yMode val="factor"/>
          <c:x val="0.025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08075"/>
          <c:w val="0.92175"/>
          <c:h val="0.875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25400">
                <a:solidFill>
                  <a:srgbClr val="000000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25400">
                <a:solidFill>
                  <a:srgbClr val="000000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'C.B.R.'!$P$313:$P$317</c:f>
              <c:numCache/>
            </c:numRef>
          </c:xVal>
          <c:yVal>
            <c:numRef>
              <c:f>'C.B.R.'!$Q$313:$Q$317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'C.B.R.'!$O$321:$O$322</c:f>
              <c:numCache/>
            </c:numRef>
          </c:xVal>
          <c:yVal>
            <c:numRef>
              <c:f>'C.B.R.'!$P$321:$P$322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1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FFFF00"/>
                </a:solidFill>
                <a:ln>
                  <a:solidFill>
                    <a:srgbClr val="FFFF00"/>
                  </a:solidFill>
                </a:ln>
              </c:spPr>
            </c:marker>
          </c:dPt>
          <c:xVal>
            <c:numRef>
              <c:f>'C.B.R.'!$O$326:$O$327</c:f>
              <c:numCache/>
            </c:numRef>
          </c:xVal>
          <c:yVal>
            <c:numRef>
              <c:f>'C.B.R.'!$P$326:$P$327</c:f>
              <c:numCache/>
            </c:numRef>
          </c:yVal>
          <c:smooth val="1"/>
        </c:ser>
        <c:axId val="47501322"/>
        <c:axId val="24858715"/>
      </c:scatterChart>
      <c:valAx>
        <c:axId val="47501322"/>
        <c:scaling>
          <c:orientation val="minMax"/>
          <c:max val="6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C.B.R. [%]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858715"/>
        <c:crosses val="autoZero"/>
        <c:crossBetween val="midCat"/>
        <c:dispUnits/>
        <c:majorUnit val="20"/>
        <c:minorUnit val="10"/>
      </c:valAx>
      <c:valAx>
        <c:axId val="24858715"/>
        <c:scaling>
          <c:orientation val="minMax"/>
          <c:max val="1.8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Peso Unitario Seco [gr/cm3]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2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501322"/>
        <c:crosses val="autoZero"/>
        <c:crossBetween val="midCat"/>
        <c:dispUnits/>
        <c:majorUnit val="0.1"/>
        <c:minorUnit val="0.05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CC99"/>
    </a:solidFill>
    <a:ln w="38100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sng" baseline="0">
                <a:solidFill>
                  <a:srgbClr val="800000"/>
                </a:solidFill>
              </a:rPr>
              <a:t>CURVA: CARGA - PENETRACION</a:t>
            </a:r>
          </a:p>
        </c:rich>
      </c:tx>
      <c:layout>
        <c:manualLayout>
          <c:xMode val="factor"/>
          <c:yMode val="factor"/>
          <c:x val="-0.022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074"/>
          <c:w val="0.963"/>
          <c:h val="0.894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'C.B.R.'!$O$411:$O$419</c:f>
              <c:numCache/>
            </c:numRef>
          </c:xVal>
          <c:yVal>
            <c:numRef>
              <c:f>'C.B.R.'!$P$411:$P$419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'C.B.R.'!$O$411:$O$419</c:f>
              <c:numCache/>
            </c:numRef>
          </c:xVal>
          <c:yVal>
            <c:numRef>
              <c:f>'C.B.R.'!$Q$411:$Q$419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'C.B.R.'!$O$411:$O$419</c:f>
              <c:numCache/>
            </c:numRef>
          </c:xVal>
          <c:yVal>
            <c:numRef>
              <c:f>'C.B.R.'!$R$411:$R$419</c:f>
              <c:numCache/>
            </c:numRef>
          </c:yVal>
          <c:smooth val="1"/>
        </c:ser>
        <c:axId val="22401844"/>
        <c:axId val="290005"/>
      </c:scatterChart>
      <c:valAx>
        <c:axId val="22401844"/>
        <c:scaling>
          <c:orientation val="minMax"/>
          <c:max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Penetración [plg]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0005"/>
        <c:crosses val="autoZero"/>
        <c:crossBetween val="midCat"/>
        <c:dispUnits/>
        <c:majorUnit val="0.1"/>
        <c:minorUnit val="0.025"/>
      </c:valAx>
      <c:valAx>
        <c:axId val="2900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Carga en [libras]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401844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195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sng" baseline="0">
                <a:solidFill>
                  <a:srgbClr val="800000"/>
                </a:solidFill>
              </a:rPr>
              <a:t>CURVA:  C.B.R.  -  PESO UNITARIO</a:t>
            </a:r>
          </a:p>
        </c:rich>
      </c:tx>
      <c:layout>
        <c:manualLayout>
          <c:xMode val="factor"/>
          <c:yMode val="factor"/>
          <c:x val="0.025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07525"/>
          <c:w val="0.92175"/>
          <c:h val="0.881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25400">
                <a:solidFill>
                  <a:srgbClr val="000000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25400">
                <a:solidFill>
                  <a:srgbClr val="000000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'C.B.R.'!$P$425:$P$429</c:f>
              <c:numCache/>
            </c:numRef>
          </c:xVal>
          <c:yVal>
            <c:numRef>
              <c:f>'C.B.R.'!$Q$425:$Q$429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'C.B.R.'!$O$433:$O$434</c:f>
              <c:numCache/>
            </c:numRef>
          </c:xVal>
          <c:yVal>
            <c:numRef>
              <c:f>'C.B.R.'!$P$433:$P$434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1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FFFF00"/>
                </a:solidFill>
                <a:ln>
                  <a:solidFill>
                    <a:srgbClr val="FFFF00"/>
                  </a:solidFill>
                </a:ln>
              </c:spPr>
            </c:marker>
          </c:dPt>
          <c:xVal>
            <c:numRef>
              <c:f>'C.B.R.'!$O$438:$O$440</c:f>
              <c:numCache/>
            </c:numRef>
          </c:xVal>
          <c:yVal>
            <c:numRef>
              <c:f>'C.B.R.'!$P$438:$P$440</c:f>
              <c:numCache/>
            </c:numRef>
          </c:yVal>
          <c:smooth val="1"/>
        </c:ser>
        <c:axId val="2610046"/>
        <c:axId val="23490415"/>
      </c:scatterChart>
      <c:valAx>
        <c:axId val="2610046"/>
        <c:scaling>
          <c:orientation val="minMax"/>
          <c:max val="1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C.B.R. [%]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490415"/>
        <c:crosses val="autoZero"/>
        <c:crossBetween val="midCat"/>
        <c:dispUnits/>
        <c:majorUnit val="10"/>
        <c:minorUnit val="10"/>
      </c:valAx>
      <c:valAx>
        <c:axId val="23490415"/>
        <c:scaling>
          <c:orientation val="minMax"/>
          <c:max val="2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Peso Unitario Seco [gr/cm3]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2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10046"/>
        <c:crosses val="autoZero"/>
        <c:crossBetween val="midCat"/>
        <c:dispUnits/>
        <c:majorUnit val="0.1"/>
        <c:minorUnit val="0.1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CC99"/>
    </a:solidFill>
    <a:ln w="38100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sng" baseline="0">
                <a:solidFill>
                  <a:srgbClr val="800000"/>
                </a:solidFill>
              </a:rPr>
              <a:t>CURVA: CARGA - PENETRACION</a:t>
            </a:r>
          </a:p>
        </c:rich>
      </c:tx>
      <c:layout>
        <c:manualLayout>
          <c:xMode val="factor"/>
          <c:yMode val="factor"/>
          <c:x val="-0.022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073"/>
          <c:w val="0.963"/>
          <c:h val="0.895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'C.B.R.'!$O$516:$O$524</c:f>
              <c:numCache/>
            </c:numRef>
          </c:xVal>
          <c:yVal>
            <c:numRef>
              <c:f>'C.B.R.'!$P$516:$P$524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'C.B.R.'!$O$516:$O$524</c:f>
              <c:numCache/>
            </c:numRef>
          </c:xVal>
          <c:yVal>
            <c:numRef>
              <c:f>'C.B.R.'!$Q$516:$Q$524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'C.B.R.'!$O$516:$O$524</c:f>
              <c:numCache/>
            </c:numRef>
          </c:xVal>
          <c:yVal>
            <c:numRef>
              <c:f>'C.B.R.'!$R$516:$R$524</c:f>
              <c:numCache/>
            </c:numRef>
          </c:yVal>
          <c:smooth val="1"/>
        </c:ser>
        <c:axId val="10087144"/>
        <c:axId val="23675433"/>
      </c:scatterChart>
      <c:valAx>
        <c:axId val="10087144"/>
        <c:scaling>
          <c:orientation val="minMax"/>
          <c:max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Penetración [plg]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675433"/>
        <c:crosses val="autoZero"/>
        <c:crossBetween val="midCat"/>
        <c:dispUnits/>
        <c:majorUnit val="0.1"/>
        <c:minorUnit val="0.025"/>
      </c:valAx>
      <c:valAx>
        <c:axId val="236754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Carga en [libras]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087144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195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sng" baseline="0">
                <a:solidFill>
                  <a:srgbClr val="800000"/>
                </a:solidFill>
              </a:rPr>
              <a:t>CURVA:  C.B.R.  -  PESO UNITARIO</a:t>
            </a:r>
          </a:p>
        </c:rich>
      </c:tx>
      <c:layout>
        <c:manualLayout>
          <c:xMode val="factor"/>
          <c:yMode val="factor"/>
          <c:x val="0.025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07125"/>
          <c:w val="0.91925"/>
          <c:h val="0.885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25400">
                <a:solidFill>
                  <a:srgbClr val="000000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25400">
                <a:solidFill>
                  <a:srgbClr val="000000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'C.B.R.'!$P$529:$P$533</c:f>
              <c:numCache/>
            </c:numRef>
          </c:xVal>
          <c:yVal>
            <c:numRef>
              <c:f>'C.B.R.'!$Q$529:$Q$533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'C.B.R.'!$O$433:$O$434</c:f>
              <c:numCache/>
            </c:numRef>
          </c:xVal>
          <c:yVal>
            <c:numRef>
              <c:f>'C.B.R.'!$P$433:$P$434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1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FFFF00"/>
                </a:solidFill>
                <a:ln>
                  <a:solidFill>
                    <a:srgbClr val="FFFF00"/>
                  </a:solidFill>
                </a:ln>
              </c:spPr>
            </c:marker>
          </c:dPt>
          <c:xVal>
            <c:numRef>
              <c:f>'C.B.R.'!$O$438:$O$440</c:f>
              <c:numCache/>
            </c:numRef>
          </c:xVal>
          <c:yVal>
            <c:numRef>
              <c:f>'C.B.R.'!$P$438:$P$440</c:f>
              <c:numCache/>
            </c:numRef>
          </c:yVal>
          <c:smooth val="1"/>
        </c:ser>
        <c:axId val="11752306"/>
        <c:axId val="38661891"/>
      </c:scatterChart>
      <c:valAx>
        <c:axId val="11752306"/>
        <c:scaling>
          <c:orientation val="minMax"/>
          <c:max val="110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C.B.R. [%]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661891"/>
        <c:crosses val="autoZero"/>
        <c:crossBetween val="midCat"/>
        <c:dispUnits/>
        <c:majorUnit val="10"/>
        <c:minorUnit val="10"/>
      </c:valAx>
      <c:valAx>
        <c:axId val="38661891"/>
        <c:scaling>
          <c:orientation val="minMax"/>
          <c:max val="2.1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Peso Unitario Seco [gr/cm3]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752306"/>
        <c:crosses val="autoZero"/>
        <c:crossBetween val="midCat"/>
        <c:dispUnits/>
        <c:majorUnit val="0.1"/>
        <c:minorUnit val="0.05"/>
      </c:valAx>
      <c:spPr>
        <a:solidFill>
          <a:srgbClr val="FFFF99"/>
        </a:solidFill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CC99"/>
    </a:solidFill>
    <a:ln w="38100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</a:rPr>
              <a:t>CURVA: CARGA - PENETRACION</a:t>
            </a:r>
          </a:p>
        </c:rich>
      </c:tx>
      <c:layout>
        <c:manualLayout>
          <c:xMode val="factor"/>
          <c:yMode val="factor"/>
          <c:x val="-0.010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07425"/>
          <c:w val="0.96275"/>
          <c:h val="0.894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'C.B.R.'!$O$70:$O$78</c:f>
              <c:numCache/>
            </c:numRef>
          </c:xVal>
          <c:yVal>
            <c:numRef>
              <c:f>'C.B.R.'!$P$70:$P$78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'C.B.R.'!$O$70:$O$78</c:f>
              <c:numCache/>
            </c:numRef>
          </c:xVal>
          <c:yVal>
            <c:numRef>
              <c:f>'C.B.R.'!$Q$70:$Q$78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'C.B.R.'!$O$70:$O$78</c:f>
              <c:numCache/>
            </c:numRef>
          </c:xVal>
          <c:yVal>
            <c:numRef>
              <c:f>'C.B.R.'!$R$70:$R$78</c:f>
              <c:numCache/>
            </c:numRef>
          </c:yVal>
          <c:smooth val="1"/>
        </c:ser>
        <c:axId val="12412700"/>
        <c:axId val="44605437"/>
      </c:scatterChart>
      <c:valAx>
        <c:axId val="12412700"/>
        <c:scaling>
          <c:orientation val="minMax"/>
          <c:max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Penetración [plg]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605437"/>
        <c:crosses val="autoZero"/>
        <c:crossBetween val="midCat"/>
        <c:dispUnits/>
        <c:majorUnit val="0.1"/>
        <c:minorUnit val="0.025"/>
      </c:valAx>
      <c:valAx>
        <c:axId val="446054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Carga en [libras]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412700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195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sng" baseline="0">
                <a:solidFill>
                  <a:srgbClr val="800000"/>
                </a:solidFill>
              </a:rPr>
              <a:t>CURVA:  C.B.R.  -  PESO UNITARIO</a:t>
            </a:r>
          </a:p>
        </c:rich>
      </c:tx>
      <c:layout>
        <c:manualLayout>
          <c:xMode val="factor"/>
          <c:yMode val="factor"/>
          <c:x val="0.0255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08575"/>
          <c:w val="0.921"/>
          <c:h val="0.869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25400">
                <a:solidFill>
                  <a:srgbClr val="000000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25400">
                <a:solidFill>
                  <a:srgbClr val="000000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'C.B.R.'!$P$644:$P$648</c:f>
              <c:numCache/>
            </c:numRef>
          </c:xVal>
          <c:yVal>
            <c:numRef>
              <c:f>'C.B.R.'!$Q$644:$Q$648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'C.B.R.'!$O$653:$O$654</c:f>
              <c:numCache/>
            </c:numRef>
          </c:xVal>
          <c:yVal>
            <c:numRef>
              <c:f>'C.B.R.'!$P$653:$P$654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1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FFFF00"/>
                </a:solidFill>
                <a:ln>
                  <a:solidFill>
                    <a:srgbClr val="FFFF00"/>
                  </a:solidFill>
                </a:ln>
              </c:spPr>
            </c:marker>
          </c:dPt>
          <c:xVal>
            <c:numRef>
              <c:f>'C.B.R.'!$O$658:$O$659</c:f>
              <c:numCache/>
            </c:numRef>
          </c:xVal>
          <c:yVal>
            <c:numRef>
              <c:f>'C.B.R.'!$P$658:$P$659</c:f>
              <c:numCache/>
            </c:numRef>
          </c:yVal>
          <c:smooth val="1"/>
        </c:ser>
        <c:axId val="65904614"/>
        <c:axId val="56270615"/>
      </c:scatterChart>
      <c:valAx>
        <c:axId val="65904614"/>
        <c:scaling>
          <c:orientation val="minMax"/>
          <c:max val="160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C.B.R. [%]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270615"/>
        <c:crosses val="autoZero"/>
        <c:crossBetween val="midCat"/>
        <c:dispUnits/>
        <c:majorUnit val="10"/>
        <c:minorUnit val="10"/>
      </c:valAx>
      <c:valAx>
        <c:axId val="56270615"/>
        <c:scaling>
          <c:orientation val="minMax"/>
          <c:max val="2.2"/>
          <c:min val="1.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Peso Unitario Seco [gr/cm3]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2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904614"/>
        <c:crosses val="autoZero"/>
        <c:crossBetween val="midCat"/>
        <c:dispUnits/>
        <c:majorUnit val="0.1"/>
        <c:minorUnit val="0.05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CC99"/>
    </a:solidFill>
    <a:ln w="38100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sng" baseline="0">
                <a:solidFill>
                  <a:srgbClr val="800000"/>
                </a:solidFill>
              </a:rPr>
              <a:t>COMPACTACION</a:t>
            </a:r>
          </a:p>
        </c:rich>
      </c:tx>
      <c:layout>
        <c:manualLayout>
          <c:xMode val="factor"/>
          <c:yMode val="factor"/>
          <c:x val="0.034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15475"/>
          <c:w val="0.91475"/>
          <c:h val="0.72075"/>
        </c:manualLayout>
      </c:layout>
      <c:scatterChart>
        <c:scatterStyle val="smoothMarker"/>
        <c:varyColors val="0"/>
        <c:ser>
          <c:idx val="0"/>
          <c:order val="0"/>
          <c:tx>
            <c:v>compactacion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compactacion!$D$74:$G$74</c:f>
              <c:numCache/>
            </c:numRef>
          </c:xVal>
          <c:yVal>
            <c:numRef>
              <c:f>compactacion!$D$75:$G$75</c:f>
              <c:numCache/>
            </c:numRef>
          </c:yVal>
          <c:smooth val="1"/>
        </c:ser>
        <c:axId val="14948934"/>
        <c:axId val="322679"/>
      </c:scatterChart>
      <c:valAx>
        <c:axId val="14948934"/>
        <c:scaling>
          <c:orientation val="minMax"/>
          <c:max val="25"/>
          <c:min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Contenido de humedad</a:t>
                </a:r>
              </a:p>
            </c:rich>
          </c:tx>
          <c:layout>
            <c:manualLayout>
              <c:xMode val="factor"/>
              <c:yMode val="factor"/>
              <c:x val="-0.04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2679"/>
        <c:crosses val="autoZero"/>
        <c:crossBetween val="midCat"/>
        <c:dispUnits/>
      </c:valAx>
      <c:valAx>
        <c:axId val="322679"/>
        <c:scaling>
          <c:orientation val="minMax"/>
          <c:max val="1.8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Densidad de suelo seco</a:t>
                </a:r>
              </a:p>
            </c:rich>
          </c:tx>
          <c:layout>
            <c:manualLayout>
              <c:xMode val="factor"/>
              <c:yMode val="factor"/>
              <c:x val="-0.027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948934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8100">
      <a:solidFill>
        <a:srgbClr val="008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sng" baseline="0">
                <a:solidFill>
                  <a:srgbClr val="800000"/>
                </a:solidFill>
              </a:rPr>
              <a:t>COMPACTACION</a:t>
            </a:r>
          </a:p>
        </c:rich>
      </c:tx>
      <c:layout>
        <c:manualLayout>
          <c:xMode val="factor"/>
          <c:yMode val="factor"/>
          <c:x val="0.0437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15875"/>
          <c:w val="0.91475"/>
          <c:h val="0.7165"/>
        </c:manualLayout>
      </c:layout>
      <c:scatterChart>
        <c:scatterStyle val="smoothMarker"/>
        <c:varyColors val="0"/>
        <c:ser>
          <c:idx val="0"/>
          <c:order val="0"/>
          <c:tx>
            <c:v>compactacion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compactacion!$D$124:$G$124</c:f>
              <c:numCache/>
            </c:numRef>
          </c:xVal>
          <c:yVal>
            <c:numRef>
              <c:f>compactacion!$D$125:$G$125</c:f>
              <c:numCache/>
            </c:numRef>
          </c:yVal>
          <c:smooth val="1"/>
        </c:ser>
        <c:axId val="2904112"/>
        <c:axId val="26137009"/>
      </c:scatterChart>
      <c:valAx>
        <c:axId val="2904112"/>
        <c:scaling>
          <c:orientation val="minMax"/>
          <c:max val="25"/>
          <c:min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Contenido de humedad</a:t>
                </a:r>
              </a:p>
            </c:rich>
          </c:tx>
          <c:layout>
            <c:manualLayout>
              <c:xMode val="factor"/>
              <c:yMode val="factor"/>
              <c:x val="-0.042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137009"/>
        <c:crosses val="autoZero"/>
        <c:crossBetween val="midCat"/>
        <c:dispUnits/>
        <c:majorUnit val="2"/>
        <c:minorUnit val="0.5"/>
      </c:valAx>
      <c:valAx>
        <c:axId val="26137009"/>
        <c:scaling>
          <c:orientation val="minMax"/>
          <c:max val="1.8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Densidad de suelo seco</a:t>
                </a:r>
              </a:p>
            </c:rich>
          </c:tx>
          <c:layout>
            <c:manualLayout>
              <c:xMode val="factor"/>
              <c:yMode val="factor"/>
              <c:x val="-0.027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04112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8100">
      <a:solidFill>
        <a:srgbClr val="008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sng" baseline="0">
                <a:solidFill>
                  <a:srgbClr val="800000"/>
                </a:solidFill>
              </a:rPr>
              <a:t>COMPACTACION</a:t>
            </a:r>
          </a:p>
        </c:rich>
      </c:tx>
      <c:layout>
        <c:manualLayout>
          <c:xMode val="factor"/>
          <c:yMode val="factor"/>
          <c:x val="0.0397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10925"/>
          <c:w val="0.91525"/>
          <c:h val="0.76775"/>
        </c:manualLayout>
      </c:layout>
      <c:scatterChart>
        <c:scatterStyle val="smoothMarker"/>
        <c:varyColors val="0"/>
        <c:ser>
          <c:idx val="0"/>
          <c:order val="0"/>
          <c:tx>
            <c:v>compactacion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compactacion!$D$174:$G$174</c:f>
              <c:numCache/>
            </c:numRef>
          </c:xVal>
          <c:yVal>
            <c:numRef>
              <c:f>compactacion!$D$175:$G$175</c:f>
              <c:numCache/>
            </c:numRef>
          </c:yVal>
          <c:smooth val="1"/>
        </c:ser>
        <c:axId val="33906490"/>
        <c:axId val="36722955"/>
      </c:scatterChart>
      <c:valAx>
        <c:axId val="33906490"/>
        <c:scaling>
          <c:orientation val="minMax"/>
          <c:max val="20"/>
          <c:min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Contenido de humedad</a:t>
                </a:r>
              </a:p>
            </c:rich>
          </c:tx>
          <c:layout>
            <c:manualLayout>
              <c:xMode val="factor"/>
              <c:yMode val="factor"/>
              <c:x val="-0.039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722955"/>
        <c:crosses val="autoZero"/>
        <c:crossBetween val="midCat"/>
        <c:dispUnits/>
        <c:majorUnit val="2"/>
        <c:minorUnit val="0.5"/>
      </c:valAx>
      <c:valAx>
        <c:axId val="36722955"/>
        <c:scaling>
          <c:orientation val="minMax"/>
          <c:max val="1.9"/>
          <c:min val="1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Densidad de suelo seco</a:t>
                </a:r>
              </a:p>
            </c:rich>
          </c:tx>
          <c:layout>
            <c:manualLayout>
              <c:xMode val="factor"/>
              <c:yMode val="factor"/>
              <c:x val="-0.027"/>
              <c:y val="-0.0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906490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8100">
      <a:solidFill>
        <a:srgbClr val="008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sng" baseline="0">
                <a:solidFill>
                  <a:srgbClr val="800000"/>
                </a:solidFill>
              </a:rPr>
              <a:t>COMPACTACION</a:t>
            </a:r>
          </a:p>
        </c:rich>
      </c:tx>
      <c:layout>
        <c:manualLayout>
          <c:xMode val="factor"/>
          <c:yMode val="factor"/>
          <c:x val="0.030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10625"/>
          <c:w val="0.9155"/>
          <c:h val="0.769"/>
        </c:manualLayout>
      </c:layout>
      <c:scatterChart>
        <c:scatterStyle val="smoothMarker"/>
        <c:varyColors val="0"/>
        <c:ser>
          <c:idx val="0"/>
          <c:order val="0"/>
          <c:tx>
            <c:v>compactacion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compactacion!$D$224:$G$224</c:f>
              <c:numCache/>
            </c:numRef>
          </c:xVal>
          <c:yVal>
            <c:numRef>
              <c:f>compactacion!$D$225:$G$225</c:f>
              <c:numCache/>
            </c:numRef>
          </c:yVal>
          <c:smooth val="1"/>
        </c:ser>
        <c:axId val="62071140"/>
        <c:axId val="21769349"/>
      </c:scatterChart>
      <c:valAx>
        <c:axId val="62071140"/>
        <c:scaling>
          <c:orientation val="minMax"/>
          <c:max val="19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Contenido de humedad</a:t>
                </a:r>
              </a:p>
            </c:rich>
          </c:tx>
          <c:layout>
            <c:manualLayout>
              <c:xMode val="factor"/>
              <c:yMode val="factor"/>
              <c:x val="-0.0495"/>
              <c:y val="-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769349"/>
        <c:crosses val="autoZero"/>
        <c:crossBetween val="midCat"/>
        <c:dispUnits/>
        <c:majorUnit val="2"/>
        <c:minorUnit val="0.5"/>
      </c:valAx>
      <c:valAx>
        <c:axId val="21769349"/>
        <c:scaling>
          <c:orientation val="minMax"/>
          <c:max val="1.8"/>
          <c:min val="1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Densidad de suelo seco</a:t>
                </a:r>
              </a:p>
            </c:rich>
          </c:tx>
          <c:layout>
            <c:manualLayout>
              <c:xMode val="factor"/>
              <c:yMode val="factor"/>
              <c:x val="-0.027"/>
              <c:y val="-0.0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071140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8100">
      <a:solidFill>
        <a:srgbClr val="008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sng" baseline="0">
                <a:solidFill>
                  <a:srgbClr val="800000"/>
                </a:solidFill>
              </a:rPr>
              <a:t>COMPACTACION</a:t>
            </a:r>
          </a:p>
        </c:rich>
      </c:tx>
      <c:layout>
        <c:manualLayout>
          <c:xMode val="factor"/>
          <c:yMode val="factor"/>
          <c:x val="0.030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055"/>
          <c:w val="0.91575"/>
          <c:h val="0.77"/>
        </c:manualLayout>
      </c:layout>
      <c:scatterChart>
        <c:scatterStyle val="smoothMarker"/>
        <c:varyColors val="0"/>
        <c:ser>
          <c:idx val="0"/>
          <c:order val="0"/>
          <c:tx>
            <c:v>compactacion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compactacion!$D$274:$G$274</c:f>
              <c:numCache/>
            </c:numRef>
          </c:xVal>
          <c:yVal>
            <c:numRef>
              <c:f>compactacion!$D$275:$G$275</c:f>
              <c:numCache/>
            </c:numRef>
          </c:yVal>
          <c:smooth val="1"/>
        </c:ser>
        <c:axId val="61706414"/>
        <c:axId val="18486815"/>
      </c:scatterChart>
      <c:valAx>
        <c:axId val="61706414"/>
        <c:scaling>
          <c:orientation val="minMax"/>
          <c:max val="10"/>
          <c:min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Contenido de humedad</a:t>
                </a:r>
              </a:p>
            </c:rich>
          </c:tx>
          <c:layout>
            <c:manualLayout>
              <c:xMode val="factor"/>
              <c:yMode val="factor"/>
              <c:x val="-0.039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486815"/>
        <c:crosses val="autoZero"/>
        <c:crossBetween val="midCat"/>
        <c:dispUnits/>
        <c:majorUnit val="2"/>
        <c:minorUnit val="0.5"/>
      </c:valAx>
      <c:valAx>
        <c:axId val="18486815"/>
        <c:scaling>
          <c:orientation val="minMax"/>
          <c:max val="2.2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Densidad de suelo seco</a:t>
                </a:r>
              </a:p>
            </c:rich>
          </c:tx>
          <c:layout>
            <c:manualLayout>
              <c:xMode val="factor"/>
              <c:yMode val="factor"/>
              <c:x val="-0.027"/>
              <c:y val="-0.0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706414"/>
        <c:crosses val="autoZero"/>
        <c:crossBetween val="midCat"/>
        <c:dispUnits/>
        <c:majorUnit val="0.02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8100">
      <a:solidFill>
        <a:srgbClr val="008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sng" baseline="0">
                <a:solidFill>
                  <a:srgbClr val="800000"/>
                </a:solidFill>
              </a:rPr>
              <a:t>CURVA: CARGA - PENETRACION</a:t>
            </a:r>
          </a:p>
        </c:rich>
      </c:tx>
      <c:layout>
        <c:manualLayout>
          <c:xMode val="factor"/>
          <c:yMode val="factor"/>
          <c:x val="-0.0177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7275"/>
          <c:w val="0.77325"/>
          <c:h val="0.80475"/>
        </c:manualLayout>
      </c:layout>
      <c:scatterChart>
        <c:scatterStyle val="smoothMarker"/>
        <c:varyColors val="0"/>
        <c:ser>
          <c:idx val="0"/>
          <c:order val="0"/>
          <c:tx>
            <c:v>MOLDE 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'C.B.R.'!$O$70:$O$78</c:f>
              <c:numCache/>
            </c:numRef>
          </c:xVal>
          <c:yVal>
            <c:numRef>
              <c:f>'C.B.R.'!$P$70:$P$78</c:f>
              <c:numCache/>
            </c:numRef>
          </c:yVal>
          <c:smooth val="1"/>
        </c:ser>
        <c:ser>
          <c:idx val="1"/>
          <c:order val="1"/>
          <c:tx>
            <c:v>MOLDE 2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'C.B.R.'!$O$70:$O$78</c:f>
              <c:numCache/>
            </c:numRef>
          </c:xVal>
          <c:yVal>
            <c:numRef>
              <c:f>'C.B.R.'!$Q$70:$Q$78</c:f>
              <c:numCache/>
            </c:numRef>
          </c:yVal>
          <c:smooth val="1"/>
        </c:ser>
        <c:ser>
          <c:idx val="2"/>
          <c:order val="2"/>
          <c:tx>
            <c:v>MOLDE 3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'C.B.R.'!$O$70:$O$78</c:f>
              <c:numCache/>
            </c:numRef>
          </c:xVal>
          <c:yVal>
            <c:numRef>
              <c:f>'C.B.R.'!$R$70:$R$78</c:f>
              <c:numCache/>
            </c:numRef>
          </c:yVal>
          <c:smooth val="1"/>
        </c:ser>
        <c:axId val="32163608"/>
        <c:axId val="21037017"/>
      </c:scatterChart>
      <c:valAx>
        <c:axId val="32163608"/>
        <c:scaling>
          <c:orientation val="minMax"/>
          <c:max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Penetración [plg]</a:t>
                </a:r>
              </a:p>
            </c:rich>
          </c:tx>
          <c:layout>
            <c:manualLayout>
              <c:xMode val="factor"/>
              <c:yMode val="factor"/>
              <c:x val="-0.04175"/>
              <c:y val="0.03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037017"/>
        <c:crosses val="autoZero"/>
        <c:crossBetween val="midCat"/>
        <c:dispUnits/>
        <c:majorUnit val="0.1"/>
        <c:minorUnit val="0.025"/>
      </c:valAx>
      <c:valAx>
        <c:axId val="210370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Carga en [libras]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163608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5475"/>
          <c:y val="0.909"/>
          <c:w val="0.36"/>
          <c:h val="0.0415"/>
        </c:manualLayout>
      </c:layout>
      <c:overlay val="0"/>
      <c:spPr>
        <a:solidFill>
          <a:srgbClr val="CC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sng" baseline="0">
                <a:solidFill>
                  <a:srgbClr val="800000"/>
                </a:solidFill>
              </a:rPr>
              <a:t>CURVA:  C.B.R.  -  PESO UNITARIO</a:t>
            </a:r>
          </a:p>
        </c:rich>
      </c:tx>
      <c:layout>
        <c:manualLayout>
          <c:xMode val="factor"/>
          <c:yMode val="factor"/>
          <c:x val="0.0157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08725"/>
          <c:w val="0.921"/>
          <c:h val="0.872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25400">
                <a:solidFill>
                  <a:srgbClr val="000000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25400">
                <a:solidFill>
                  <a:srgbClr val="000000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'C.B.R.'!$P$93:$P$97</c:f>
              <c:numCache/>
            </c:numRef>
          </c:xVal>
          <c:yVal>
            <c:numRef>
              <c:f>'C.B.R.'!$Q$93:$Q$97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'C.B.R.'!$O$102:$O$103</c:f>
              <c:numCache/>
            </c:numRef>
          </c:xVal>
          <c:yVal>
            <c:numRef>
              <c:f>'C.B.R.'!$P$102:$P$103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1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FFFF00"/>
                </a:solidFill>
                <a:ln>
                  <a:solidFill>
                    <a:srgbClr val="FFFF00"/>
                  </a:solidFill>
                </a:ln>
              </c:spPr>
            </c:marker>
          </c:dPt>
          <c:xVal>
            <c:numRef>
              <c:f>'C.B.R.'!$O$107:$O$108</c:f>
              <c:numCache/>
            </c:numRef>
          </c:xVal>
          <c:yVal>
            <c:numRef>
              <c:f>'C.B.R.'!$P$107:$P$108</c:f>
              <c:numCache/>
            </c:numRef>
          </c:yVal>
          <c:smooth val="1"/>
        </c:ser>
        <c:axId val="55115426"/>
        <c:axId val="26276787"/>
      </c:scatterChart>
      <c:valAx>
        <c:axId val="55115426"/>
        <c:scaling>
          <c:orientation val="minMax"/>
          <c:max val="155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C.B.R. [%]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276787"/>
        <c:crosses val="autoZero"/>
        <c:crossBetween val="midCat"/>
        <c:dispUnits/>
        <c:majorUnit val="10"/>
        <c:minorUnit val="10"/>
      </c:valAx>
      <c:valAx>
        <c:axId val="26276787"/>
        <c:scaling>
          <c:orientation val="minMax"/>
          <c:max val="1.8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Peso Unitario Seco [gr/cm3]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2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115426"/>
        <c:crosses val="autoZero"/>
        <c:crossBetween val="midCat"/>
        <c:dispUnits/>
        <c:majorUnit val="0.1"/>
        <c:minorUnit val="0.1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CC99"/>
    </a:solidFill>
    <a:ln w="25400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sng" baseline="0">
                <a:solidFill>
                  <a:srgbClr val="800000"/>
                </a:solidFill>
              </a:rPr>
              <a:t>CURVA: CARGA - PENETRACION</a:t>
            </a:r>
          </a:p>
        </c:rich>
      </c:tx>
      <c:layout>
        <c:manualLayout>
          <c:xMode val="factor"/>
          <c:yMode val="factor"/>
          <c:x val="-0.022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073"/>
          <c:w val="0.963"/>
          <c:h val="0.895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'C.B.R.'!$O$186:$O$194</c:f>
              <c:numCache/>
            </c:numRef>
          </c:xVal>
          <c:yVal>
            <c:numRef>
              <c:f>'C.B.R.'!$P$186:$P$194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'C.B.R.'!$O$186:$O$194</c:f>
              <c:numCache/>
            </c:numRef>
          </c:xVal>
          <c:yVal>
            <c:numRef>
              <c:f>'C.B.R.'!$Q$186:$Q$194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'C.B.R.'!$O$186:$O$194</c:f>
              <c:numCache/>
            </c:numRef>
          </c:xVal>
          <c:yVal>
            <c:numRef>
              <c:f>'C.B.R.'!$R$186:$R$194</c:f>
              <c:numCache/>
            </c:numRef>
          </c:yVal>
          <c:smooth val="1"/>
        </c:ser>
        <c:axId val="35164492"/>
        <c:axId val="48044973"/>
      </c:scatterChart>
      <c:valAx>
        <c:axId val="35164492"/>
        <c:scaling>
          <c:orientation val="minMax"/>
          <c:max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Penetración [plg]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044973"/>
        <c:crosses val="autoZero"/>
        <c:crossBetween val="midCat"/>
        <c:dispUnits/>
        <c:majorUnit val="0.1"/>
        <c:minorUnit val="0.025"/>
      </c:valAx>
      <c:valAx>
        <c:axId val="480449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Carga en [libras]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164492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195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Relationship Id="rId9" Type="http://schemas.openxmlformats.org/officeDocument/2006/relationships/chart" Target="/xl/charts/chart15.xml" /><Relationship Id="rId10" Type="http://schemas.openxmlformats.org/officeDocument/2006/relationships/chart" Target="/xl/charts/chart16.xml" /><Relationship Id="rId11" Type="http://schemas.openxmlformats.org/officeDocument/2006/relationships/chart" Target="/xl/charts/chart17.xml" /><Relationship Id="rId12" Type="http://schemas.openxmlformats.org/officeDocument/2006/relationships/chart" Target="/xl/charts/chart1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2.emf" /><Relationship Id="rId4" Type="http://schemas.openxmlformats.org/officeDocument/2006/relationships/image" Target="../media/image1.emf" /><Relationship Id="rId5" Type="http://schemas.openxmlformats.org/officeDocument/2006/relationships/image" Target="../media/image2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1.emf" /><Relationship Id="rId9" Type="http://schemas.openxmlformats.org/officeDocument/2006/relationships/image" Target="../media/image2.emf" /><Relationship Id="rId10" Type="http://schemas.openxmlformats.org/officeDocument/2006/relationships/image" Target="../media/image1.emf" /><Relationship Id="rId11" Type="http://schemas.openxmlformats.org/officeDocument/2006/relationships/image" Target="../media/image2.emf" /><Relationship Id="rId1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3.emf" /><Relationship Id="rId3" Type="http://schemas.openxmlformats.org/officeDocument/2006/relationships/image" Target="../media/image3.emf" /><Relationship Id="rId4" Type="http://schemas.openxmlformats.org/officeDocument/2006/relationships/image" Target="../media/image3.emf" /><Relationship Id="rId5" Type="http://schemas.openxmlformats.org/officeDocument/2006/relationships/image" Target="../media/image3.emf" /><Relationship Id="rId6" Type="http://schemas.openxmlformats.org/officeDocument/2006/relationships/image" Target="../media/image3.emf" /><Relationship Id="rId7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1" name="Line 10"/>
        <xdr:cNvSpPr>
          <a:spLocks/>
        </xdr:cNvSpPr>
      </xdr:nvSpPr>
      <xdr:spPr>
        <a:xfrm>
          <a:off x="1457325" y="6591300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86</xdr:row>
      <xdr:rowOff>0</xdr:rowOff>
    </xdr:from>
    <xdr:to>
      <xdr:col>6</xdr:col>
      <xdr:colOff>152400</xdr:colOff>
      <xdr:row>86</xdr:row>
      <xdr:rowOff>0</xdr:rowOff>
    </xdr:to>
    <xdr:sp>
      <xdr:nvSpPr>
        <xdr:cNvPr id="2" name="Line 12"/>
        <xdr:cNvSpPr>
          <a:spLocks/>
        </xdr:cNvSpPr>
      </xdr:nvSpPr>
      <xdr:spPr>
        <a:xfrm>
          <a:off x="1457325" y="15297150"/>
          <a:ext cx="3200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135</xdr:row>
      <xdr:rowOff>0</xdr:rowOff>
    </xdr:from>
    <xdr:to>
      <xdr:col>6</xdr:col>
      <xdr:colOff>152400</xdr:colOff>
      <xdr:row>135</xdr:row>
      <xdr:rowOff>0</xdr:rowOff>
    </xdr:to>
    <xdr:sp>
      <xdr:nvSpPr>
        <xdr:cNvPr id="3" name="Line 14"/>
        <xdr:cNvSpPr>
          <a:spLocks/>
        </xdr:cNvSpPr>
      </xdr:nvSpPr>
      <xdr:spPr>
        <a:xfrm>
          <a:off x="1457325" y="24003000"/>
          <a:ext cx="3200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184</xdr:row>
      <xdr:rowOff>0</xdr:rowOff>
    </xdr:from>
    <xdr:to>
      <xdr:col>6</xdr:col>
      <xdr:colOff>152400</xdr:colOff>
      <xdr:row>184</xdr:row>
      <xdr:rowOff>0</xdr:rowOff>
    </xdr:to>
    <xdr:sp>
      <xdr:nvSpPr>
        <xdr:cNvPr id="4" name="Line 16"/>
        <xdr:cNvSpPr>
          <a:spLocks/>
        </xdr:cNvSpPr>
      </xdr:nvSpPr>
      <xdr:spPr>
        <a:xfrm>
          <a:off x="1457325" y="32651700"/>
          <a:ext cx="3200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234</xdr:row>
      <xdr:rowOff>0</xdr:rowOff>
    </xdr:from>
    <xdr:to>
      <xdr:col>6</xdr:col>
      <xdr:colOff>152400</xdr:colOff>
      <xdr:row>234</xdr:row>
      <xdr:rowOff>0</xdr:rowOff>
    </xdr:to>
    <xdr:sp>
      <xdr:nvSpPr>
        <xdr:cNvPr id="5" name="Line 18"/>
        <xdr:cNvSpPr>
          <a:spLocks/>
        </xdr:cNvSpPr>
      </xdr:nvSpPr>
      <xdr:spPr>
        <a:xfrm>
          <a:off x="1457325" y="41500425"/>
          <a:ext cx="3200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284</xdr:row>
      <xdr:rowOff>0</xdr:rowOff>
    </xdr:from>
    <xdr:to>
      <xdr:col>6</xdr:col>
      <xdr:colOff>152400</xdr:colOff>
      <xdr:row>284</xdr:row>
      <xdr:rowOff>0</xdr:rowOff>
    </xdr:to>
    <xdr:sp>
      <xdr:nvSpPr>
        <xdr:cNvPr id="6" name="Line 20"/>
        <xdr:cNvSpPr>
          <a:spLocks/>
        </xdr:cNvSpPr>
      </xdr:nvSpPr>
      <xdr:spPr>
        <a:xfrm>
          <a:off x="1457325" y="50349150"/>
          <a:ext cx="3200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333</xdr:row>
      <xdr:rowOff>0</xdr:rowOff>
    </xdr:from>
    <xdr:to>
      <xdr:col>6</xdr:col>
      <xdr:colOff>152400</xdr:colOff>
      <xdr:row>333</xdr:row>
      <xdr:rowOff>0</xdr:rowOff>
    </xdr:to>
    <xdr:sp>
      <xdr:nvSpPr>
        <xdr:cNvPr id="7" name="Line 20"/>
        <xdr:cNvSpPr>
          <a:spLocks/>
        </xdr:cNvSpPr>
      </xdr:nvSpPr>
      <xdr:spPr>
        <a:xfrm>
          <a:off x="1457325" y="58597800"/>
          <a:ext cx="3200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284</xdr:row>
      <xdr:rowOff>0</xdr:rowOff>
    </xdr:from>
    <xdr:to>
      <xdr:col>6</xdr:col>
      <xdr:colOff>152400</xdr:colOff>
      <xdr:row>284</xdr:row>
      <xdr:rowOff>0</xdr:rowOff>
    </xdr:to>
    <xdr:sp>
      <xdr:nvSpPr>
        <xdr:cNvPr id="8" name="Line 20"/>
        <xdr:cNvSpPr>
          <a:spLocks/>
        </xdr:cNvSpPr>
      </xdr:nvSpPr>
      <xdr:spPr>
        <a:xfrm>
          <a:off x="1457325" y="50349150"/>
          <a:ext cx="3200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25</xdr:row>
      <xdr:rowOff>133350</xdr:rowOff>
    </xdr:from>
    <xdr:to>
      <xdr:col>6</xdr:col>
      <xdr:colOff>533400</xdr:colOff>
      <xdr:row>43</xdr:row>
      <xdr:rowOff>76200</xdr:rowOff>
    </xdr:to>
    <xdr:graphicFrame>
      <xdr:nvGraphicFramePr>
        <xdr:cNvPr id="1" name="Chart 2"/>
        <xdr:cNvGraphicFramePr/>
      </xdr:nvGraphicFramePr>
      <xdr:xfrm>
        <a:off x="114300" y="4638675"/>
        <a:ext cx="512445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77</xdr:row>
      <xdr:rowOff>142875</xdr:rowOff>
    </xdr:from>
    <xdr:to>
      <xdr:col>6</xdr:col>
      <xdr:colOff>523875</xdr:colOff>
      <xdr:row>96</xdr:row>
      <xdr:rowOff>9525</xdr:rowOff>
    </xdr:to>
    <xdr:graphicFrame>
      <xdr:nvGraphicFramePr>
        <xdr:cNvPr id="2" name="Chart 6"/>
        <xdr:cNvGraphicFramePr/>
      </xdr:nvGraphicFramePr>
      <xdr:xfrm>
        <a:off x="123825" y="13344525"/>
        <a:ext cx="510540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128</xdr:row>
      <xdr:rowOff>0</xdr:rowOff>
    </xdr:from>
    <xdr:to>
      <xdr:col>6</xdr:col>
      <xdr:colOff>514350</xdr:colOff>
      <xdr:row>146</xdr:row>
      <xdr:rowOff>28575</xdr:rowOff>
    </xdr:to>
    <xdr:graphicFrame>
      <xdr:nvGraphicFramePr>
        <xdr:cNvPr id="3" name="Chart 9"/>
        <xdr:cNvGraphicFramePr/>
      </xdr:nvGraphicFramePr>
      <xdr:xfrm>
        <a:off x="114300" y="21745575"/>
        <a:ext cx="5105400" cy="2771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177</xdr:row>
      <xdr:rowOff>142875</xdr:rowOff>
    </xdr:from>
    <xdr:to>
      <xdr:col>6</xdr:col>
      <xdr:colOff>523875</xdr:colOff>
      <xdr:row>196</xdr:row>
      <xdr:rowOff>9525</xdr:rowOff>
    </xdr:to>
    <xdr:graphicFrame>
      <xdr:nvGraphicFramePr>
        <xdr:cNvPr id="4" name="Chart 13"/>
        <xdr:cNvGraphicFramePr/>
      </xdr:nvGraphicFramePr>
      <xdr:xfrm>
        <a:off x="123825" y="30127575"/>
        <a:ext cx="5105400" cy="2762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114300</xdr:colOff>
      <xdr:row>227</xdr:row>
      <xdr:rowOff>85725</xdr:rowOff>
    </xdr:from>
    <xdr:to>
      <xdr:col>6</xdr:col>
      <xdr:colOff>514350</xdr:colOff>
      <xdr:row>245</xdr:row>
      <xdr:rowOff>114300</xdr:rowOff>
    </xdr:to>
    <xdr:graphicFrame>
      <xdr:nvGraphicFramePr>
        <xdr:cNvPr id="5" name="Chart 16"/>
        <xdr:cNvGraphicFramePr/>
      </xdr:nvGraphicFramePr>
      <xdr:xfrm>
        <a:off x="114300" y="38461950"/>
        <a:ext cx="5105400" cy="2771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152400</xdr:colOff>
      <xdr:row>277</xdr:row>
      <xdr:rowOff>0</xdr:rowOff>
    </xdr:from>
    <xdr:to>
      <xdr:col>6</xdr:col>
      <xdr:colOff>561975</xdr:colOff>
      <xdr:row>295</xdr:row>
      <xdr:rowOff>38100</xdr:rowOff>
    </xdr:to>
    <xdr:graphicFrame>
      <xdr:nvGraphicFramePr>
        <xdr:cNvPr id="6" name="Chart 50"/>
        <xdr:cNvGraphicFramePr/>
      </xdr:nvGraphicFramePr>
      <xdr:xfrm>
        <a:off x="152400" y="46767750"/>
        <a:ext cx="5114925" cy="2781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58</xdr:row>
      <xdr:rowOff>0</xdr:rowOff>
    </xdr:from>
    <xdr:to>
      <xdr:col>12</xdr:col>
      <xdr:colOff>400050</xdr:colOff>
      <xdr:row>88</xdr:row>
      <xdr:rowOff>47625</xdr:rowOff>
    </xdr:to>
    <xdr:graphicFrame>
      <xdr:nvGraphicFramePr>
        <xdr:cNvPr id="1" name="Chart 1"/>
        <xdr:cNvGraphicFramePr/>
      </xdr:nvGraphicFramePr>
      <xdr:xfrm>
        <a:off x="76200" y="9448800"/>
        <a:ext cx="651510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90</xdr:row>
      <xdr:rowOff>0</xdr:rowOff>
    </xdr:from>
    <xdr:to>
      <xdr:col>9</xdr:col>
      <xdr:colOff>447675</xdr:colOff>
      <xdr:row>109</xdr:row>
      <xdr:rowOff>114300</xdr:rowOff>
    </xdr:to>
    <xdr:graphicFrame>
      <xdr:nvGraphicFramePr>
        <xdr:cNvPr id="2" name="Chart 2"/>
        <xdr:cNvGraphicFramePr/>
      </xdr:nvGraphicFramePr>
      <xdr:xfrm>
        <a:off x="85725" y="14630400"/>
        <a:ext cx="4933950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314325</xdr:colOff>
      <xdr:row>61</xdr:row>
      <xdr:rowOff>47625</xdr:rowOff>
    </xdr:from>
    <xdr:to>
      <xdr:col>12</xdr:col>
      <xdr:colOff>209550</xdr:colOff>
      <xdr:row>62</xdr:row>
      <xdr:rowOff>57150</xdr:rowOff>
    </xdr:to>
    <xdr:sp>
      <xdr:nvSpPr>
        <xdr:cNvPr id="3" name="AutoShape 3"/>
        <xdr:cNvSpPr>
          <a:spLocks/>
        </xdr:cNvSpPr>
      </xdr:nvSpPr>
      <xdr:spPr>
        <a:xfrm>
          <a:off x="5438775" y="9982200"/>
          <a:ext cx="962025" cy="171450"/>
        </a:xfrm>
        <a:prstGeom prst="wedgeRectCallout">
          <a:avLst>
            <a:gd name="adj1" fmla="val -42648"/>
            <a:gd name="adj2" fmla="val 30000"/>
          </a:avLst>
        </a:prstGeom>
        <a:solidFill>
          <a:srgbClr val="CCFFCC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56 Golpes</a:t>
          </a:r>
        </a:p>
      </xdr:txBody>
    </xdr:sp>
    <xdr:clientData/>
  </xdr:twoCellAnchor>
  <xdr:twoCellAnchor>
    <xdr:from>
      <xdr:col>10</xdr:col>
      <xdr:colOff>323850</xdr:colOff>
      <xdr:row>66</xdr:row>
      <xdr:rowOff>28575</xdr:rowOff>
    </xdr:from>
    <xdr:to>
      <xdr:col>12</xdr:col>
      <xdr:colOff>219075</xdr:colOff>
      <xdr:row>67</xdr:row>
      <xdr:rowOff>38100</xdr:rowOff>
    </xdr:to>
    <xdr:sp>
      <xdr:nvSpPr>
        <xdr:cNvPr id="4" name="AutoShape 4"/>
        <xdr:cNvSpPr>
          <a:spLocks/>
        </xdr:cNvSpPr>
      </xdr:nvSpPr>
      <xdr:spPr>
        <a:xfrm>
          <a:off x="5448300" y="10772775"/>
          <a:ext cx="962025" cy="171450"/>
        </a:xfrm>
        <a:prstGeom prst="wedgeRectCallout">
          <a:avLst>
            <a:gd name="adj1" fmla="val -39157"/>
            <a:gd name="adj2" fmla="val 138888"/>
          </a:avLst>
        </a:prstGeom>
        <a:solidFill>
          <a:srgbClr val="CCFFCC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25 Golpes</a:t>
          </a:r>
        </a:p>
      </xdr:txBody>
    </xdr:sp>
    <xdr:clientData/>
  </xdr:twoCellAnchor>
  <xdr:twoCellAnchor>
    <xdr:from>
      <xdr:col>10</xdr:col>
      <xdr:colOff>314325</xdr:colOff>
      <xdr:row>73</xdr:row>
      <xdr:rowOff>142875</xdr:rowOff>
    </xdr:from>
    <xdr:to>
      <xdr:col>12</xdr:col>
      <xdr:colOff>209550</xdr:colOff>
      <xdr:row>74</xdr:row>
      <xdr:rowOff>152400</xdr:rowOff>
    </xdr:to>
    <xdr:sp>
      <xdr:nvSpPr>
        <xdr:cNvPr id="5" name="AutoShape 5"/>
        <xdr:cNvSpPr>
          <a:spLocks/>
        </xdr:cNvSpPr>
      </xdr:nvSpPr>
      <xdr:spPr>
        <a:xfrm>
          <a:off x="5438775" y="12020550"/>
          <a:ext cx="962025" cy="171450"/>
        </a:xfrm>
        <a:prstGeom prst="wedgeRectCallout">
          <a:avLst>
            <a:gd name="adj1" fmla="val -41564"/>
            <a:gd name="adj2" fmla="val 66666"/>
          </a:avLst>
        </a:prstGeom>
        <a:solidFill>
          <a:srgbClr val="CCFFCC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12 Golpes</a:t>
          </a:r>
        </a:p>
      </xdr:txBody>
    </xdr:sp>
    <xdr:clientData/>
  </xdr:twoCellAnchor>
  <xdr:twoCellAnchor>
    <xdr:from>
      <xdr:col>0</xdr:col>
      <xdr:colOff>95250</xdr:colOff>
      <xdr:row>169</xdr:row>
      <xdr:rowOff>85725</xdr:rowOff>
    </xdr:from>
    <xdr:to>
      <xdr:col>12</xdr:col>
      <xdr:colOff>419100</xdr:colOff>
      <xdr:row>199</xdr:row>
      <xdr:rowOff>133350</xdr:rowOff>
    </xdr:to>
    <xdr:graphicFrame>
      <xdr:nvGraphicFramePr>
        <xdr:cNvPr id="6" name="Chart 11"/>
        <xdr:cNvGraphicFramePr/>
      </xdr:nvGraphicFramePr>
      <xdr:xfrm>
        <a:off x="95250" y="27727275"/>
        <a:ext cx="6515100" cy="4905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104775</xdr:colOff>
      <xdr:row>200</xdr:row>
      <xdr:rowOff>47625</xdr:rowOff>
    </xdr:from>
    <xdr:to>
      <xdr:col>9</xdr:col>
      <xdr:colOff>466725</xdr:colOff>
      <xdr:row>219</xdr:row>
      <xdr:rowOff>133350</xdr:rowOff>
    </xdr:to>
    <xdr:graphicFrame>
      <xdr:nvGraphicFramePr>
        <xdr:cNvPr id="7" name="Chart 12"/>
        <xdr:cNvGraphicFramePr/>
      </xdr:nvGraphicFramePr>
      <xdr:xfrm>
        <a:off x="104775" y="32708850"/>
        <a:ext cx="4933950" cy="3162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314325</xdr:colOff>
      <xdr:row>172</xdr:row>
      <xdr:rowOff>47625</xdr:rowOff>
    </xdr:from>
    <xdr:to>
      <xdr:col>12</xdr:col>
      <xdr:colOff>209550</xdr:colOff>
      <xdr:row>173</xdr:row>
      <xdr:rowOff>57150</xdr:rowOff>
    </xdr:to>
    <xdr:sp>
      <xdr:nvSpPr>
        <xdr:cNvPr id="8" name="AutoShape 13"/>
        <xdr:cNvSpPr>
          <a:spLocks/>
        </xdr:cNvSpPr>
      </xdr:nvSpPr>
      <xdr:spPr>
        <a:xfrm>
          <a:off x="5438775" y="28174950"/>
          <a:ext cx="962025" cy="171450"/>
        </a:xfrm>
        <a:prstGeom prst="wedgeRectCallout">
          <a:avLst>
            <a:gd name="adj1" fmla="val -42648"/>
            <a:gd name="adj2" fmla="val 30000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56 Golpes</a:t>
          </a:r>
        </a:p>
      </xdr:txBody>
    </xdr:sp>
    <xdr:clientData/>
  </xdr:twoCellAnchor>
  <xdr:twoCellAnchor>
    <xdr:from>
      <xdr:col>10</xdr:col>
      <xdr:colOff>323850</xdr:colOff>
      <xdr:row>177</xdr:row>
      <xdr:rowOff>28575</xdr:rowOff>
    </xdr:from>
    <xdr:to>
      <xdr:col>12</xdr:col>
      <xdr:colOff>219075</xdr:colOff>
      <xdr:row>178</xdr:row>
      <xdr:rowOff>38100</xdr:rowOff>
    </xdr:to>
    <xdr:sp>
      <xdr:nvSpPr>
        <xdr:cNvPr id="9" name="AutoShape 14"/>
        <xdr:cNvSpPr>
          <a:spLocks/>
        </xdr:cNvSpPr>
      </xdr:nvSpPr>
      <xdr:spPr>
        <a:xfrm>
          <a:off x="5448300" y="28965525"/>
          <a:ext cx="962025" cy="171450"/>
        </a:xfrm>
        <a:prstGeom prst="wedgeRectCallout">
          <a:avLst>
            <a:gd name="adj1" fmla="val -39157"/>
            <a:gd name="adj2" fmla="val 138888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25 Golpes</a:t>
          </a:r>
        </a:p>
      </xdr:txBody>
    </xdr:sp>
    <xdr:clientData/>
  </xdr:twoCellAnchor>
  <xdr:twoCellAnchor>
    <xdr:from>
      <xdr:col>10</xdr:col>
      <xdr:colOff>314325</xdr:colOff>
      <xdr:row>184</xdr:row>
      <xdr:rowOff>142875</xdr:rowOff>
    </xdr:from>
    <xdr:to>
      <xdr:col>12</xdr:col>
      <xdr:colOff>209550</xdr:colOff>
      <xdr:row>185</xdr:row>
      <xdr:rowOff>152400</xdr:rowOff>
    </xdr:to>
    <xdr:sp>
      <xdr:nvSpPr>
        <xdr:cNvPr id="10" name="AutoShape 15"/>
        <xdr:cNvSpPr>
          <a:spLocks/>
        </xdr:cNvSpPr>
      </xdr:nvSpPr>
      <xdr:spPr>
        <a:xfrm>
          <a:off x="5438775" y="30213300"/>
          <a:ext cx="962025" cy="171450"/>
        </a:xfrm>
        <a:prstGeom prst="wedgeRectCallout">
          <a:avLst>
            <a:gd name="adj1" fmla="val -41564"/>
            <a:gd name="adj2" fmla="val 66666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12 Golpes</a:t>
          </a:r>
        </a:p>
      </xdr:txBody>
    </xdr:sp>
    <xdr:clientData/>
  </xdr:twoCellAnchor>
  <xdr:twoCellAnchor>
    <xdr:from>
      <xdr:col>0</xdr:col>
      <xdr:colOff>95250</xdr:colOff>
      <xdr:row>278</xdr:row>
      <xdr:rowOff>85725</xdr:rowOff>
    </xdr:from>
    <xdr:to>
      <xdr:col>12</xdr:col>
      <xdr:colOff>419100</xdr:colOff>
      <xdr:row>308</xdr:row>
      <xdr:rowOff>133350</xdr:rowOff>
    </xdr:to>
    <xdr:graphicFrame>
      <xdr:nvGraphicFramePr>
        <xdr:cNvPr id="11" name="Chart 16"/>
        <xdr:cNvGraphicFramePr/>
      </xdr:nvGraphicFramePr>
      <xdr:xfrm>
        <a:off x="95250" y="45720000"/>
        <a:ext cx="6515100" cy="4905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309</xdr:row>
      <xdr:rowOff>95250</xdr:rowOff>
    </xdr:from>
    <xdr:to>
      <xdr:col>9</xdr:col>
      <xdr:colOff>447675</xdr:colOff>
      <xdr:row>329</xdr:row>
      <xdr:rowOff>9525</xdr:rowOff>
    </xdr:to>
    <xdr:graphicFrame>
      <xdr:nvGraphicFramePr>
        <xdr:cNvPr id="12" name="Chart 17"/>
        <xdr:cNvGraphicFramePr/>
      </xdr:nvGraphicFramePr>
      <xdr:xfrm>
        <a:off x="85725" y="50749200"/>
        <a:ext cx="4933950" cy="3152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314325</xdr:colOff>
      <xdr:row>281</xdr:row>
      <xdr:rowOff>47625</xdr:rowOff>
    </xdr:from>
    <xdr:to>
      <xdr:col>12</xdr:col>
      <xdr:colOff>209550</xdr:colOff>
      <xdr:row>282</xdr:row>
      <xdr:rowOff>57150</xdr:rowOff>
    </xdr:to>
    <xdr:sp>
      <xdr:nvSpPr>
        <xdr:cNvPr id="13" name="AutoShape 18"/>
        <xdr:cNvSpPr>
          <a:spLocks/>
        </xdr:cNvSpPr>
      </xdr:nvSpPr>
      <xdr:spPr>
        <a:xfrm>
          <a:off x="5438775" y="46167675"/>
          <a:ext cx="962025" cy="171450"/>
        </a:xfrm>
        <a:prstGeom prst="wedgeRectCallout">
          <a:avLst>
            <a:gd name="adj1" fmla="val -42648"/>
            <a:gd name="adj2" fmla="val 30000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56 Golpes</a:t>
          </a:r>
        </a:p>
      </xdr:txBody>
    </xdr:sp>
    <xdr:clientData/>
  </xdr:twoCellAnchor>
  <xdr:twoCellAnchor>
    <xdr:from>
      <xdr:col>10</xdr:col>
      <xdr:colOff>323850</xdr:colOff>
      <xdr:row>286</xdr:row>
      <xdr:rowOff>28575</xdr:rowOff>
    </xdr:from>
    <xdr:to>
      <xdr:col>12</xdr:col>
      <xdr:colOff>219075</xdr:colOff>
      <xdr:row>287</xdr:row>
      <xdr:rowOff>38100</xdr:rowOff>
    </xdr:to>
    <xdr:sp>
      <xdr:nvSpPr>
        <xdr:cNvPr id="14" name="AutoShape 19"/>
        <xdr:cNvSpPr>
          <a:spLocks/>
        </xdr:cNvSpPr>
      </xdr:nvSpPr>
      <xdr:spPr>
        <a:xfrm>
          <a:off x="5448300" y="46958250"/>
          <a:ext cx="962025" cy="171450"/>
        </a:xfrm>
        <a:prstGeom prst="wedgeRectCallout">
          <a:avLst>
            <a:gd name="adj1" fmla="val -39157"/>
            <a:gd name="adj2" fmla="val 138888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25 Golpes</a:t>
          </a:r>
        </a:p>
      </xdr:txBody>
    </xdr:sp>
    <xdr:clientData/>
  </xdr:twoCellAnchor>
  <xdr:twoCellAnchor>
    <xdr:from>
      <xdr:col>10</xdr:col>
      <xdr:colOff>314325</xdr:colOff>
      <xdr:row>293</xdr:row>
      <xdr:rowOff>142875</xdr:rowOff>
    </xdr:from>
    <xdr:to>
      <xdr:col>12</xdr:col>
      <xdr:colOff>209550</xdr:colOff>
      <xdr:row>294</xdr:row>
      <xdr:rowOff>152400</xdr:rowOff>
    </xdr:to>
    <xdr:sp>
      <xdr:nvSpPr>
        <xdr:cNvPr id="15" name="AutoShape 20"/>
        <xdr:cNvSpPr>
          <a:spLocks/>
        </xdr:cNvSpPr>
      </xdr:nvSpPr>
      <xdr:spPr>
        <a:xfrm>
          <a:off x="5438775" y="48206025"/>
          <a:ext cx="962025" cy="171450"/>
        </a:xfrm>
        <a:prstGeom prst="wedgeRectCallout">
          <a:avLst>
            <a:gd name="adj1" fmla="val -41564"/>
            <a:gd name="adj2" fmla="val 66666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12 Golpes</a:t>
          </a:r>
        </a:p>
      </xdr:txBody>
    </xdr:sp>
    <xdr:clientData/>
  </xdr:twoCellAnchor>
  <xdr:twoCellAnchor>
    <xdr:from>
      <xdr:col>0</xdr:col>
      <xdr:colOff>95250</xdr:colOff>
      <xdr:row>388</xdr:row>
      <xdr:rowOff>0</xdr:rowOff>
    </xdr:from>
    <xdr:to>
      <xdr:col>12</xdr:col>
      <xdr:colOff>419100</xdr:colOff>
      <xdr:row>417</xdr:row>
      <xdr:rowOff>133350</xdr:rowOff>
    </xdr:to>
    <xdr:graphicFrame>
      <xdr:nvGraphicFramePr>
        <xdr:cNvPr id="16" name="Chart 21"/>
        <xdr:cNvGraphicFramePr/>
      </xdr:nvGraphicFramePr>
      <xdr:xfrm>
        <a:off x="95250" y="63779400"/>
        <a:ext cx="6515100" cy="4829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85725</xdr:colOff>
      <xdr:row>419</xdr:row>
      <xdr:rowOff>28575</xdr:rowOff>
    </xdr:from>
    <xdr:to>
      <xdr:col>9</xdr:col>
      <xdr:colOff>447675</xdr:colOff>
      <xdr:row>438</xdr:row>
      <xdr:rowOff>76200</xdr:rowOff>
    </xdr:to>
    <xdr:graphicFrame>
      <xdr:nvGraphicFramePr>
        <xdr:cNvPr id="17" name="Chart 22"/>
        <xdr:cNvGraphicFramePr/>
      </xdr:nvGraphicFramePr>
      <xdr:xfrm>
        <a:off x="85725" y="68827650"/>
        <a:ext cx="4933950" cy="3124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314325</xdr:colOff>
      <xdr:row>390</xdr:row>
      <xdr:rowOff>47625</xdr:rowOff>
    </xdr:from>
    <xdr:to>
      <xdr:col>12</xdr:col>
      <xdr:colOff>209550</xdr:colOff>
      <xdr:row>391</xdr:row>
      <xdr:rowOff>57150</xdr:rowOff>
    </xdr:to>
    <xdr:sp>
      <xdr:nvSpPr>
        <xdr:cNvPr id="18" name="AutoShape 23"/>
        <xdr:cNvSpPr>
          <a:spLocks/>
        </xdr:cNvSpPr>
      </xdr:nvSpPr>
      <xdr:spPr>
        <a:xfrm>
          <a:off x="5438775" y="64150875"/>
          <a:ext cx="962025" cy="171450"/>
        </a:xfrm>
        <a:prstGeom prst="wedgeRectCallout">
          <a:avLst>
            <a:gd name="adj1" fmla="val -42648"/>
            <a:gd name="adj2" fmla="val 30000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56 Golpes</a:t>
          </a:r>
        </a:p>
      </xdr:txBody>
    </xdr:sp>
    <xdr:clientData/>
  </xdr:twoCellAnchor>
  <xdr:twoCellAnchor>
    <xdr:from>
      <xdr:col>10</xdr:col>
      <xdr:colOff>323850</xdr:colOff>
      <xdr:row>395</xdr:row>
      <xdr:rowOff>28575</xdr:rowOff>
    </xdr:from>
    <xdr:to>
      <xdr:col>12</xdr:col>
      <xdr:colOff>219075</xdr:colOff>
      <xdr:row>396</xdr:row>
      <xdr:rowOff>38100</xdr:rowOff>
    </xdr:to>
    <xdr:sp>
      <xdr:nvSpPr>
        <xdr:cNvPr id="19" name="AutoShape 24"/>
        <xdr:cNvSpPr>
          <a:spLocks/>
        </xdr:cNvSpPr>
      </xdr:nvSpPr>
      <xdr:spPr>
        <a:xfrm>
          <a:off x="5448300" y="64941450"/>
          <a:ext cx="962025" cy="171450"/>
        </a:xfrm>
        <a:prstGeom prst="wedgeRectCallout">
          <a:avLst>
            <a:gd name="adj1" fmla="val -39157"/>
            <a:gd name="adj2" fmla="val 138888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25 Golpes</a:t>
          </a:r>
        </a:p>
      </xdr:txBody>
    </xdr:sp>
    <xdr:clientData/>
  </xdr:twoCellAnchor>
  <xdr:twoCellAnchor>
    <xdr:from>
      <xdr:col>10</xdr:col>
      <xdr:colOff>314325</xdr:colOff>
      <xdr:row>402</xdr:row>
      <xdr:rowOff>142875</xdr:rowOff>
    </xdr:from>
    <xdr:to>
      <xdr:col>12</xdr:col>
      <xdr:colOff>209550</xdr:colOff>
      <xdr:row>403</xdr:row>
      <xdr:rowOff>152400</xdr:rowOff>
    </xdr:to>
    <xdr:sp>
      <xdr:nvSpPr>
        <xdr:cNvPr id="20" name="AutoShape 25"/>
        <xdr:cNvSpPr>
          <a:spLocks/>
        </xdr:cNvSpPr>
      </xdr:nvSpPr>
      <xdr:spPr>
        <a:xfrm>
          <a:off x="5438775" y="66189225"/>
          <a:ext cx="962025" cy="171450"/>
        </a:xfrm>
        <a:prstGeom prst="wedgeRectCallout">
          <a:avLst>
            <a:gd name="adj1" fmla="val -41564"/>
            <a:gd name="adj2" fmla="val 66666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12 Golpes</a:t>
          </a:r>
        </a:p>
      </xdr:txBody>
    </xdr:sp>
    <xdr:clientData/>
  </xdr:twoCellAnchor>
  <xdr:twoCellAnchor>
    <xdr:from>
      <xdr:col>0</xdr:col>
      <xdr:colOff>95250</xdr:colOff>
      <xdr:row>497</xdr:row>
      <xdr:rowOff>85725</xdr:rowOff>
    </xdr:from>
    <xdr:to>
      <xdr:col>12</xdr:col>
      <xdr:colOff>419100</xdr:colOff>
      <xdr:row>527</xdr:row>
      <xdr:rowOff>133350</xdr:rowOff>
    </xdr:to>
    <xdr:graphicFrame>
      <xdr:nvGraphicFramePr>
        <xdr:cNvPr id="21" name="Chart 26"/>
        <xdr:cNvGraphicFramePr/>
      </xdr:nvGraphicFramePr>
      <xdr:xfrm>
        <a:off x="95250" y="81819750"/>
        <a:ext cx="6515100" cy="4905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85725</xdr:colOff>
      <xdr:row>528</xdr:row>
      <xdr:rowOff>114300</xdr:rowOff>
    </xdr:from>
    <xdr:to>
      <xdr:col>9</xdr:col>
      <xdr:colOff>447675</xdr:colOff>
      <xdr:row>548</xdr:row>
      <xdr:rowOff>38100</xdr:rowOff>
    </xdr:to>
    <xdr:graphicFrame>
      <xdr:nvGraphicFramePr>
        <xdr:cNvPr id="22" name="Chart 27"/>
        <xdr:cNvGraphicFramePr/>
      </xdr:nvGraphicFramePr>
      <xdr:xfrm>
        <a:off x="85725" y="86868000"/>
        <a:ext cx="4933950" cy="31623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314325</xdr:colOff>
      <xdr:row>500</xdr:row>
      <xdr:rowOff>47625</xdr:rowOff>
    </xdr:from>
    <xdr:to>
      <xdr:col>12</xdr:col>
      <xdr:colOff>209550</xdr:colOff>
      <xdr:row>501</xdr:row>
      <xdr:rowOff>57150</xdr:rowOff>
    </xdr:to>
    <xdr:sp>
      <xdr:nvSpPr>
        <xdr:cNvPr id="23" name="AutoShape 28"/>
        <xdr:cNvSpPr>
          <a:spLocks/>
        </xdr:cNvSpPr>
      </xdr:nvSpPr>
      <xdr:spPr>
        <a:xfrm>
          <a:off x="5438775" y="82267425"/>
          <a:ext cx="962025" cy="171450"/>
        </a:xfrm>
        <a:prstGeom prst="wedgeRectCallout">
          <a:avLst>
            <a:gd name="adj1" fmla="val -42648"/>
            <a:gd name="adj2" fmla="val 30000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56 Golpes</a:t>
          </a:r>
        </a:p>
      </xdr:txBody>
    </xdr:sp>
    <xdr:clientData/>
  </xdr:twoCellAnchor>
  <xdr:twoCellAnchor>
    <xdr:from>
      <xdr:col>10</xdr:col>
      <xdr:colOff>323850</xdr:colOff>
      <xdr:row>505</xdr:row>
      <xdr:rowOff>28575</xdr:rowOff>
    </xdr:from>
    <xdr:to>
      <xdr:col>12</xdr:col>
      <xdr:colOff>219075</xdr:colOff>
      <xdr:row>506</xdr:row>
      <xdr:rowOff>38100</xdr:rowOff>
    </xdr:to>
    <xdr:sp>
      <xdr:nvSpPr>
        <xdr:cNvPr id="24" name="AutoShape 29"/>
        <xdr:cNvSpPr>
          <a:spLocks/>
        </xdr:cNvSpPr>
      </xdr:nvSpPr>
      <xdr:spPr>
        <a:xfrm>
          <a:off x="5448300" y="83058000"/>
          <a:ext cx="962025" cy="171450"/>
        </a:xfrm>
        <a:prstGeom prst="wedgeRectCallout">
          <a:avLst>
            <a:gd name="adj1" fmla="val -39157"/>
            <a:gd name="adj2" fmla="val 138888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25 Golpes</a:t>
          </a:r>
        </a:p>
      </xdr:txBody>
    </xdr:sp>
    <xdr:clientData/>
  </xdr:twoCellAnchor>
  <xdr:twoCellAnchor>
    <xdr:from>
      <xdr:col>10</xdr:col>
      <xdr:colOff>314325</xdr:colOff>
      <xdr:row>512</xdr:row>
      <xdr:rowOff>142875</xdr:rowOff>
    </xdr:from>
    <xdr:to>
      <xdr:col>12</xdr:col>
      <xdr:colOff>209550</xdr:colOff>
      <xdr:row>513</xdr:row>
      <xdr:rowOff>152400</xdr:rowOff>
    </xdr:to>
    <xdr:sp>
      <xdr:nvSpPr>
        <xdr:cNvPr id="25" name="AutoShape 30"/>
        <xdr:cNvSpPr>
          <a:spLocks/>
        </xdr:cNvSpPr>
      </xdr:nvSpPr>
      <xdr:spPr>
        <a:xfrm>
          <a:off x="5438775" y="84305775"/>
          <a:ext cx="962025" cy="171450"/>
        </a:xfrm>
        <a:prstGeom prst="wedgeRectCallout">
          <a:avLst>
            <a:gd name="adj1" fmla="val -41564"/>
            <a:gd name="adj2" fmla="val 66666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12 Golpes</a:t>
          </a:r>
        </a:p>
      </xdr:txBody>
    </xdr:sp>
    <xdr:clientData/>
  </xdr:twoCellAnchor>
  <xdr:twoCellAnchor>
    <xdr:from>
      <xdr:col>0</xdr:col>
      <xdr:colOff>95250</xdr:colOff>
      <xdr:row>607</xdr:row>
      <xdr:rowOff>85725</xdr:rowOff>
    </xdr:from>
    <xdr:to>
      <xdr:col>12</xdr:col>
      <xdr:colOff>419100</xdr:colOff>
      <xdr:row>637</xdr:row>
      <xdr:rowOff>133350</xdr:rowOff>
    </xdr:to>
    <xdr:graphicFrame>
      <xdr:nvGraphicFramePr>
        <xdr:cNvPr id="26" name="Chart 31"/>
        <xdr:cNvGraphicFramePr/>
      </xdr:nvGraphicFramePr>
      <xdr:xfrm>
        <a:off x="95250" y="99936300"/>
        <a:ext cx="6515100" cy="4905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95250</xdr:colOff>
      <xdr:row>639</xdr:row>
      <xdr:rowOff>38100</xdr:rowOff>
    </xdr:from>
    <xdr:to>
      <xdr:col>9</xdr:col>
      <xdr:colOff>457200</xdr:colOff>
      <xdr:row>658</xdr:row>
      <xdr:rowOff>47625</xdr:rowOff>
    </xdr:to>
    <xdr:graphicFrame>
      <xdr:nvGraphicFramePr>
        <xdr:cNvPr id="27" name="Chart 32"/>
        <xdr:cNvGraphicFramePr/>
      </xdr:nvGraphicFramePr>
      <xdr:xfrm>
        <a:off x="95250" y="105070275"/>
        <a:ext cx="4933950" cy="3086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10</xdr:col>
      <xdr:colOff>314325</xdr:colOff>
      <xdr:row>610</xdr:row>
      <xdr:rowOff>47625</xdr:rowOff>
    </xdr:from>
    <xdr:to>
      <xdr:col>12</xdr:col>
      <xdr:colOff>209550</xdr:colOff>
      <xdr:row>611</xdr:row>
      <xdr:rowOff>57150</xdr:rowOff>
    </xdr:to>
    <xdr:sp>
      <xdr:nvSpPr>
        <xdr:cNvPr id="28" name="AutoShape 33"/>
        <xdr:cNvSpPr>
          <a:spLocks/>
        </xdr:cNvSpPr>
      </xdr:nvSpPr>
      <xdr:spPr>
        <a:xfrm>
          <a:off x="5438775" y="100383975"/>
          <a:ext cx="962025" cy="171450"/>
        </a:xfrm>
        <a:prstGeom prst="wedgeRectCallout">
          <a:avLst>
            <a:gd name="adj1" fmla="val -42648"/>
            <a:gd name="adj2" fmla="val 30000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56 Golpes</a:t>
          </a:r>
        </a:p>
      </xdr:txBody>
    </xdr:sp>
    <xdr:clientData/>
  </xdr:twoCellAnchor>
  <xdr:twoCellAnchor>
    <xdr:from>
      <xdr:col>10</xdr:col>
      <xdr:colOff>323850</xdr:colOff>
      <xdr:row>615</xdr:row>
      <xdr:rowOff>28575</xdr:rowOff>
    </xdr:from>
    <xdr:to>
      <xdr:col>12</xdr:col>
      <xdr:colOff>219075</xdr:colOff>
      <xdr:row>616</xdr:row>
      <xdr:rowOff>38100</xdr:rowOff>
    </xdr:to>
    <xdr:sp>
      <xdr:nvSpPr>
        <xdr:cNvPr id="29" name="AutoShape 34"/>
        <xdr:cNvSpPr>
          <a:spLocks/>
        </xdr:cNvSpPr>
      </xdr:nvSpPr>
      <xdr:spPr>
        <a:xfrm>
          <a:off x="5448300" y="101174550"/>
          <a:ext cx="962025" cy="171450"/>
        </a:xfrm>
        <a:prstGeom prst="wedgeRectCallout">
          <a:avLst>
            <a:gd name="adj1" fmla="val -39157"/>
            <a:gd name="adj2" fmla="val 138888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25 Golpes</a:t>
          </a:r>
        </a:p>
      </xdr:txBody>
    </xdr:sp>
    <xdr:clientData/>
  </xdr:twoCellAnchor>
  <xdr:twoCellAnchor>
    <xdr:from>
      <xdr:col>10</xdr:col>
      <xdr:colOff>314325</xdr:colOff>
      <xdr:row>622</xdr:row>
      <xdr:rowOff>142875</xdr:rowOff>
    </xdr:from>
    <xdr:to>
      <xdr:col>12</xdr:col>
      <xdr:colOff>209550</xdr:colOff>
      <xdr:row>623</xdr:row>
      <xdr:rowOff>152400</xdr:rowOff>
    </xdr:to>
    <xdr:sp>
      <xdr:nvSpPr>
        <xdr:cNvPr id="30" name="AutoShape 35"/>
        <xdr:cNvSpPr>
          <a:spLocks/>
        </xdr:cNvSpPr>
      </xdr:nvSpPr>
      <xdr:spPr>
        <a:xfrm>
          <a:off x="5438775" y="102422325"/>
          <a:ext cx="962025" cy="171450"/>
        </a:xfrm>
        <a:prstGeom prst="wedgeRectCallout">
          <a:avLst>
            <a:gd name="adj1" fmla="val -41564"/>
            <a:gd name="adj2" fmla="val 66666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12 Golpes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vmlDrawing" Target="../drawings/vmlDrawing1.vml" /><Relationship Id="rId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vmlDrawing" Target="../drawings/vmlDrawing2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K350"/>
  <sheetViews>
    <sheetView zoomScalePageLayoutView="0" workbookViewId="0" topLeftCell="A1">
      <selection activeCell="C299" sqref="C299"/>
    </sheetView>
  </sheetViews>
  <sheetFormatPr defaultColWidth="11.421875" defaultRowHeight="12.75"/>
  <cols>
    <col min="3" max="3" width="12.140625" style="0" customWidth="1"/>
    <col min="8" max="8" width="11.57421875" style="0" bestFit="1" customWidth="1"/>
    <col min="10" max="10" width="0.42578125" style="0" customWidth="1"/>
    <col min="11" max="11" width="0.5625" style="0" customWidth="1"/>
  </cols>
  <sheetData>
    <row r="1" spans="1:8" ht="13.5" thickBot="1">
      <c r="A1" s="591"/>
      <c r="B1" s="8"/>
      <c r="C1" s="8"/>
      <c r="D1" s="8"/>
      <c r="E1" s="8"/>
      <c r="F1" s="8"/>
      <c r="G1" s="8"/>
      <c r="H1" s="592"/>
    </row>
    <row r="2" spans="1:8" ht="13.5" thickBot="1">
      <c r="A2" s="612" t="s">
        <v>0</v>
      </c>
      <c r="B2" s="613"/>
      <c r="C2" s="613"/>
      <c r="D2" s="613"/>
      <c r="E2" s="613"/>
      <c r="F2" s="613"/>
      <c r="G2" s="613"/>
      <c r="H2" s="614"/>
    </row>
    <row r="3" spans="1:8" ht="13.5" thickBot="1">
      <c r="A3" s="69"/>
      <c r="B3" s="6"/>
      <c r="C3" s="6"/>
      <c r="D3" s="6"/>
      <c r="E3" s="6"/>
      <c r="F3" s="6"/>
      <c r="G3" s="6"/>
      <c r="H3" s="70"/>
    </row>
    <row r="4" spans="1:8" ht="13.5" thickTop="1">
      <c r="A4" s="622" t="s">
        <v>2</v>
      </c>
      <c r="B4" s="623"/>
      <c r="C4" s="177" t="s">
        <v>3</v>
      </c>
      <c r="D4" s="6"/>
      <c r="E4" s="6"/>
      <c r="F4" s="6"/>
      <c r="G4" s="6"/>
      <c r="H4" s="70"/>
    </row>
    <row r="5" spans="1:8" ht="12.75">
      <c r="A5" s="624" t="s">
        <v>1</v>
      </c>
      <c r="B5" s="625"/>
      <c r="C5" s="178" t="s">
        <v>206</v>
      </c>
      <c r="D5" s="6"/>
      <c r="E5" s="6"/>
      <c r="F5" s="6"/>
      <c r="G5" s="6"/>
      <c r="H5" s="70"/>
    </row>
    <row r="6" spans="1:8" ht="13.5" thickBot="1">
      <c r="A6" s="626" t="s">
        <v>4</v>
      </c>
      <c r="B6" s="627"/>
      <c r="C6" s="179" t="s">
        <v>5</v>
      </c>
      <c r="D6" s="6"/>
      <c r="E6" s="6"/>
      <c r="F6" s="6"/>
      <c r="G6" s="6"/>
      <c r="H6" s="70"/>
    </row>
    <row r="7" spans="1:8" ht="14.25" thickBot="1" thickTop="1">
      <c r="A7" s="69"/>
      <c r="B7" s="6"/>
      <c r="C7" s="6"/>
      <c r="D7" s="6"/>
      <c r="E7" s="6"/>
      <c r="F7" s="6"/>
      <c r="G7" s="6"/>
      <c r="H7" s="70"/>
    </row>
    <row r="8" spans="1:8" ht="13.5" thickBot="1">
      <c r="A8" s="609" t="s">
        <v>221</v>
      </c>
      <c r="B8" s="610"/>
      <c r="C8" s="610"/>
      <c r="D8" s="611"/>
      <c r="E8" s="609" t="s">
        <v>12</v>
      </c>
      <c r="F8" s="610"/>
      <c r="G8" s="610"/>
      <c r="H8" s="611"/>
    </row>
    <row r="9" spans="1:8" ht="12.75">
      <c r="A9" s="183"/>
      <c r="B9" s="181"/>
      <c r="C9" s="181"/>
      <c r="D9" s="181"/>
      <c r="E9" s="180"/>
      <c r="F9" s="181"/>
      <c r="G9" s="181"/>
      <c r="H9" s="182"/>
    </row>
    <row r="10" spans="1:8" ht="13.5">
      <c r="A10" s="184" t="s">
        <v>217</v>
      </c>
      <c r="B10" s="185"/>
      <c r="C10" s="186"/>
      <c r="D10" s="187">
        <v>189.8</v>
      </c>
      <c r="E10" s="188" t="s">
        <v>13</v>
      </c>
      <c r="F10" s="185"/>
      <c r="G10" s="186"/>
      <c r="H10" s="190">
        <v>1945</v>
      </c>
    </row>
    <row r="11" spans="1:8" ht="14.25" thickBot="1">
      <c r="A11" s="184" t="s">
        <v>7</v>
      </c>
      <c r="B11" s="185"/>
      <c r="C11" s="186"/>
      <c r="D11" s="191">
        <v>185.9</v>
      </c>
      <c r="E11" s="188" t="s">
        <v>14</v>
      </c>
      <c r="F11" s="185"/>
      <c r="G11" s="186"/>
      <c r="H11" s="190">
        <v>41.96</v>
      </c>
    </row>
    <row r="12" spans="1:8" ht="14.25" thickBot="1">
      <c r="A12" s="184" t="s">
        <v>218</v>
      </c>
      <c r="B12" s="185"/>
      <c r="C12" s="185"/>
      <c r="D12" s="193">
        <f>D10-D11</f>
        <v>3.9000000000000057</v>
      </c>
      <c r="E12" s="185" t="s">
        <v>15</v>
      </c>
      <c r="F12" s="185"/>
      <c r="G12" s="186"/>
      <c r="H12" s="190">
        <v>1901.4</v>
      </c>
    </row>
    <row r="13" spans="1:8" ht="14.25" thickBot="1">
      <c r="A13" s="184" t="s">
        <v>219</v>
      </c>
      <c r="B13" s="185"/>
      <c r="C13" s="186"/>
      <c r="D13" s="194">
        <v>127</v>
      </c>
      <c r="E13" s="188"/>
      <c r="F13" s="185"/>
      <c r="G13" s="186"/>
      <c r="H13" s="190"/>
    </row>
    <row r="14" spans="1:8" ht="14.25" thickBot="1">
      <c r="A14" s="184" t="s">
        <v>10</v>
      </c>
      <c r="B14" s="185"/>
      <c r="C14" s="185"/>
      <c r="D14" s="193">
        <f>D11-D13</f>
        <v>58.900000000000006</v>
      </c>
      <c r="E14" s="185"/>
      <c r="F14" s="185"/>
      <c r="G14" s="186"/>
      <c r="H14" s="202"/>
    </row>
    <row r="15" spans="1:8" ht="14.25" thickBot="1">
      <c r="A15" s="184" t="s">
        <v>220</v>
      </c>
      <c r="B15" s="185"/>
      <c r="C15" s="185"/>
      <c r="D15" s="195">
        <f>(D12/D14)*100</f>
        <v>6.62139219015281</v>
      </c>
      <c r="E15" s="185" t="s">
        <v>16</v>
      </c>
      <c r="F15" s="185"/>
      <c r="G15" s="185" t="s">
        <v>17</v>
      </c>
      <c r="H15" s="201">
        <f>(H12*100)/(100+D15)</f>
        <v>1783.3194267515923</v>
      </c>
    </row>
    <row r="16" spans="1:8" ht="13.5">
      <c r="A16" s="184"/>
      <c r="B16" s="185"/>
      <c r="C16" s="186"/>
      <c r="D16" s="192"/>
      <c r="E16" s="188"/>
      <c r="F16" s="185"/>
      <c r="G16" s="186"/>
      <c r="H16" s="203"/>
    </row>
    <row r="17" spans="1:8" ht="14.25" thickBot="1">
      <c r="A17" s="184"/>
      <c r="B17" s="185"/>
      <c r="C17" s="186"/>
      <c r="D17" s="196"/>
      <c r="E17" s="188"/>
      <c r="F17" s="185"/>
      <c r="G17" s="186"/>
      <c r="H17" s="199"/>
    </row>
    <row r="18" spans="1:8" ht="14.25" thickBot="1">
      <c r="A18" s="184"/>
      <c r="B18" s="185"/>
      <c r="C18" s="185"/>
      <c r="D18" s="198">
        <f>D15</f>
        <v>6.62139219015281</v>
      </c>
      <c r="E18" s="185" t="s">
        <v>18</v>
      </c>
      <c r="F18" s="185"/>
      <c r="G18" s="185"/>
      <c r="H18" s="201">
        <f>H11+H15</f>
        <v>1825.2794267515924</v>
      </c>
    </row>
    <row r="19" spans="1:8" ht="13.5">
      <c r="A19" s="184"/>
      <c r="B19" s="185"/>
      <c r="C19" s="186"/>
      <c r="D19" s="197"/>
      <c r="E19" s="188"/>
      <c r="F19" s="185"/>
      <c r="G19" s="186"/>
      <c r="H19" s="200"/>
    </row>
    <row r="20" spans="1:8" ht="13.5">
      <c r="A20" s="184"/>
      <c r="B20" s="185"/>
      <c r="C20" s="186"/>
      <c r="D20" s="188"/>
      <c r="E20" s="188"/>
      <c r="F20" s="185"/>
      <c r="G20" s="186"/>
      <c r="H20" s="189"/>
    </row>
    <row r="21" spans="1:8" ht="12.75">
      <c r="A21" s="69"/>
      <c r="B21" s="6"/>
      <c r="C21" s="6"/>
      <c r="D21" s="6"/>
      <c r="E21" s="6"/>
      <c r="F21" s="6"/>
      <c r="G21" s="6"/>
      <c r="H21" s="70"/>
    </row>
    <row r="22" spans="1:8" ht="12.75">
      <c r="A22" s="69"/>
      <c r="B22" s="6"/>
      <c r="C22" s="6"/>
      <c r="D22" s="6"/>
      <c r="E22" s="6"/>
      <c r="F22" s="6"/>
      <c r="G22" s="6"/>
      <c r="H22" s="70"/>
    </row>
    <row r="23" spans="1:8" ht="13.5" thickBot="1">
      <c r="A23" s="69"/>
      <c r="B23" s="6"/>
      <c r="C23" s="6"/>
      <c r="D23" s="6"/>
      <c r="E23" s="6"/>
      <c r="F23" s="6"/>
      <c r="G23" s="6"/>
      <c r="H23" s="70"/>
    </row>
    <row r="24" spans="1:8" ht="13.5" thickBot="1">
      <c r="A24" s="615" t="s">
        <v>40</v>
      </c>
      <c r="B24" s="616"/>
      <c r="C24" s="616"/>
      <c r="D24" s="616"/>
      <c r="E24" s="616"/>
      <c r="F24" s="616"/>
      <c r="G24" s="616"/>
      <c r="H24" s="617"/>
    </row>
    <row r="25" spans="1:8" ht="13.5" thickBot="1">
      <c r="A25" s="69"/>
      <c r="B25" s="6"/>
      <c r="C25" s="6"/>
      <c r="D25" s="6"/>
      <c r="E25" s="6"/>
      <c r="F25" s="6"/>
      <c r="G25" s="6"/>
      <c r="H25" s="70"/>
    </row>
    <row r="26" spans="1:8" ht="13.5" thickBot="1">
      <c r="A26" s="69"/>
      <c r="B26" s="618" t="s">
        <v>222</v>
      </c>
      <c r="C26" s="211" t="s">
        <v>19</v>
      </c>
      <c r="D26" s="620" t="s">
        <v>21</v>
      </c>
      <c r="E26" s="621"/>
      <c r="F26" s="212" t="s">
        <v>24</v>
      </c>
      <c r="G26" s="6"/>
      <c r="H26" s="70"/>
    </row>
    <row r="27" spans="1:8" ht="13.5" thickBot="1">
      <c r="A27" s="69"/>
      <c r="B27" s="619"/>
      <c r="C27" s="213" t="s">
        <v>20</v>
      </c>
      <c r="D27" s="214" t="s">
        <v>22</v>
      </c>
      <c r="E27" s="215" t="s">
        <v>23</v>
      </c>
      <c r="F27" s="227" t="s">
        <v>25</v>
      </c>
      <c r="G27" s="6"/>
      <c r="H27" s="70"/>
    </row>
    <row r="28" spans="1:8" ht="14.25" thickTop="1">
      <c r="A28" s="69"/>
      <c r="B28" s="204" t="s">
        <v>26</v>
      </c>
      <c r="C28" s="205">
        <v>0</v>
      </c>
      <c r="D28" s="206">
        <f>0</f>
        <v>0</v>
      </c>
      <c r="E28" s="232">
        <f>(D28/H18)*100</f>
        <v>0</v>
      </c>
      <c r="F28" s="235">
        <f>100-E28</f>
        <v>100</v>
      </c>
      <c r="G28" s="6"/>
      <c r="H28" s="70"/>
    </row>
    <row r="29" spans="1:8" ht="13.5">
      <c r="A29" s="69"/>
      <c r="B29" s="207" t="s">
        <v>27</v>
      </c>
      <c r="C29" s="208">
        <v>0</v>
      </c>
      <c r="D29" s="208">
        <f>D28+C29</f>
        <v>0</v>
      </c>
      <c r="E29" s="233">
        <f>(D29/H18)*100</f>
        <v>0</v>
      </c>
      <c r="F29" s="229">
        <f aca="true" t="shared" si="0" ref="F29:F34">100-E29</f>
        <v>100</v>
      </c>
      <c r="G29" s="6"/>
      <c r="H29" s="70"/>
    </row>
    <row r="30" spans="1:8" ht="13.5">
      <c r="A30" s="69"/>
      <c r="B30" s="207" t="s">
        <v>28</v>
      </c>
      <c r="C30" s="208">
        <v>0</v>
      </c>
      <c r="D30" s="208">
        <f>D29+C30</f>
        <v>0</v>
      </c>
      <c r="E30" s="233">
        <f>(D30/H18)*100</f>
        <v>0</v>
      </c>
      <c r="F30" s="229">
        <f t="shared" si="0"/>
        <v>100</v>
      </c>
      <c r="G30" s="6"/>
      <c r="H30" s="70"/>
    </row>
    <row r="31" spans="1:8" ht="13.5">
      <c r="A31" s="69"/>
      <c r="B31" s="207" t="s">
        <v>29</v>
      </c>
      <c r="C31" s="208">
        <v>0</v>
      </c>
      <c r="D31" s="208">
        <f>D30+C31</f>
        <v>0</v>
      </c>
      <c r="E31" s="233">
        <f>(D31/H18)*100</f>
        <v>0</v>
      </c>
      <c r="F31" s="229">
        <f t="shared" si="0"/>
        <v>100</v>
      </c>
      <c r="G31" s="6"/>
      <c r="H31" s="70"/>
    </row>
    <row r="32" spans="1:8" ht="13.5">
      <c r="A32" s="69"/>
      <c r="B32" s="207" t="s">
        <v>30</v>
      </c>
      <c r="C32" s="208">
        <v>0</v>
      </c>
      <c r="D32" s="208">
        <f>D31+C32</f>
        <v>0</v>
      </c>
      <c r="E32" s="233">
        <f>(D32/H18)*100</f>
        <v>0</v>
      </c>
      <c r="F32" s="229">
        <f t="shared" si="0"/>
        <v>100</v>
      </c>
      <c r="G32" s="6"/>
      <c r="H32" s="70"/>
    </row>
    <row r="33" spans="1:8" ht="13.5">
      <c r="A33" s="69"/>
      <c r="B33" s="207" t="s">
        <v>31</v>
      </c>
      <c r="C33" s="208">
        <v>0</v>
      </c>
      <c r="D33" s="208">
        <v>5</v>
      </c>
      <c r="E33" s="233">
        <f>(D33/H18)*100</f>
        <v>0.2739306610658722</v>
      </c>
      <c r="F33" s="229">
        <f t="shared" si="0"/>
        <v>99.72606933893412</v>
      </c>
      <c r="G33" s="6"/>
      <c r="H33" s="70"/>
    </row>
    <row r="34" spans="1:8" ht="14.25" thickBot="1">
      <c r="A34" s="69"/>
      <c r="B34" s="209" t="s">
        <v>32</v>
      </c>
      <c r="C34" s="210">
        <v>0</v>
      </c>
      <c r="D34" s="210">
        <v>40.9</v>
      </c>
      <c r="E34" s="234">
        <f>(D34/H18)*100</f>
        <v>2.240752807518835</v>
      </c>
      <c r="F34" s="230">
        <f t="shared" si="0"/>
        <v>97.75924719248117</v>
      </c>
      <c r="G34" s="6"/>
      <c r="H34" s="70"/>
    </row>
    <row r="35" spans="1:8" ht="15.75" customHeight="1" thickBot="1">
      <c r="A35" s="24"/>
      <c r="B35" s="7"/>
      <c r="C35" s="7"/>
      <c r="D35" s="7"/>
      <c r="E35" s="174"/>
      <c r="F35" s="174"/>
      <c r="G35" s="7"/>
      <c r="H35" s="25"/>
    </row>
    <row r="36" spans="1:8" ht="12.75" customHeight="1" thickBot="1">
      <c r="A36" s="593"/>
      <c r="B36" s="594"/>
      <c r="C36" s="594"/>
      <c r="D36" s="594"/>
      <c r="E36" s="594"/>
      <c r="F36" s="594"/>
      <c r="G36" s="594"/>
      <c r="H36" s="595"/>
    </row>
    <row r="37" spans="1:8" ht="13.5" thickBot="1">
      <c r="A37" s="609" t="s">
        <v>33</v>
      </c>
      <c r="B37" s="610"/>
      <c r="C37" s="610"/>
      <c r="D37" s="610"/>
      <c r="E37" s="610"/>
      <c r="F37" s="610"/>
      <c r="G37" s="610"/>
      <c r="H37" s="611"/>
    </row>
    <row r="38" spans="1:8" ht="13.5" thickBot="1">
      <c r="A38" s="69"/>
      <c r="B38" s="6"/>
      <c r="C38" s="6"/>
      <c r="D38" s="6"/>
      <c r="E38" s="6"/>
      <c r="F38" s="6"/>
      <c r="G38" s="6"/>
      <c r="H38" s="70"/>
    </row>
    <row r="39" spans="1:8" ht="14.25" thickBot="1">
      <c r="A39" s="630" t="s">
        <v>34</v>
      </c>
      <c r="B39" s="631"/>
      <c r="C39" s="222">
        <v>100</v>
      </c>
      <c r="D39" s="219"/>
      <c r="E39" s="628" t="s">
        <v>16</v>
      </c>
      <c r="F39" s="629"/>
      <c r="G39" s="214" t="s">
        <v>38</v>
      </c>
      <c r="H39" s="223">
        <f>C39*100/(100+D18)</f>
        <v>93.78980891719745</v>
      </c>
    </row>
    <row r="40" spans="1:8" ht="14.25" thickBot="1">
      <c r="A40" s="218"/>
      <c r="B40" s="219"/>
      <c r="C40" s="219"/>
      <c r="D40" s="219"/>
      <c r="E40" s="219"/>
      <c r="F40" s="219"/>
      <c r="G40" s="219"/>
      <c r="H40" s="220"/>
    </row>
    <row r="41" spans="1:8" ht="14.25" thickBot="1">
      <c r="A41" s="218"/>
      <c r="B41" s="618" t="s">
        <v>222</v>
      </c>
      <c r="C41" s="212" t="s">
        <v>19</v>
      </c>
      <c r="D41" s="620" t="s">
        <v>21</v>
      </c>
      <c r="E41" s="621"/>
      <c r="F41" s="212" t="s">
        <v>24</v>
      </c>
      <c r="G41" s="212" t="s">
        <v>24</v>
      </c>
      <c r="H41" s="220"/>
    </row>
    <row r="42" spans="1:8" ht="14.25" thickBot="1">
      <c r="A42" s="218"/>
      <c r="B42" s="619"/>
      <c r="C42" s="215" t="s">
        <v>20</v>
      </c>
      <c r="D42" s="214" t="s">
        <v>22</v>
      </c>
      <c r="E42" s="215" t="s">
        <v>23</v>
      </c>
      <c r="F42" s="215" t="s">
        <v>39</v>
      </c>
      <c r="G42" s="227" t="s">
        <v>25</v>
      </c>
      <c r="H42" s="220"/>
    </row>
    <row r="43" spans="1:8" ht="14.25" thickTop="1">
      <c r="A43" s="218"/>
      <c r="B43" s="204"/>
      <c r="C43" s="205"/>
      <c r="D43" s="205"/>
      <c r="E43" s="205"/>
      <c r="F43" s="224"/>
      <c r="G43" s="228"/>
      <c r="H43" s="220"/>
    </row>
    <row r="44" spans="1:8" ht="13.5">
      <c r="A44" s="218"/>
      <c r="B44" s="207" t="s">
        <v>36</v>
      </c>
      <c r="C44" s="208">
        <v>9.5</v>
      </c>
      <c r="D44" s="208">
        <f>D43+C44</f>
        <v>9.5</v>
      </c>
      <c r="E44" s="208">
        <f>(D44/C46)*100</f>
        <v>10.129032258064518</v>
      </c>
      <c r="F44" s="225"/>
      <c r="G44" s="229">
        <f>100-E44</f>
        <v>89.87096774193549</v>
      </c>
      <c r="H44" s="220"/>
    </row>
    <row r="45" spans="1:8" ht="14.25" thickBot="1">
      <c r="A45" s="218"/>
      <c r="B45" s="209" t="s">
        <v>37</v>
      </c>
      <c r="C45" s="221">
        <v>24.4</v>
      </c>
      <c r="D45" s="210">
        <f>D44+C45</f>
        <v>33.9</v>
      </c>
      <c r="E45" s="210">
        <f>(D45/C46)*100</f>
        <v>36.1446519524618</v>
      </c>
      <c r="F45" s="226"/>
      <c r="G45" s="230">
        <f>100-E45</f>
        <v>63.8553480475382</v>
      </c>
      <c r="H45" s="220"/>
    </row>
    <row r="46" spans="1:8" ht="15" thickBot="1" thickTop="1">
      <c r="A46" s="218"/>
      <c r="B46" s="219"/>
      <c r="C46" s="231">
        <f>H39</f>
        <v>93.78980891719745</v>
      </c>
      <c r="D46" s="219"/>
      <c r="E46" s="219"/>
      <c r="F46" s="219"/>
      <c r="G46" s="219"/>
      <c r="H46" s="220"/>
    </row>
    <row r="47" spans="1:8" ht="13.5" customHeight="1" thickTop="1">
      <c r="A47" s="69"/>
      <c r="B47" s="6"/>
      <c r="C47" s="6"/>
      <c r="D47" s="6"/>
      <c r="E47" s="6"/>
      <c r="F47" s="6"/>
      <c r="G47" s="6"/>
      <c r="H47" s="70"/>
    </row>
    <row r="48" spans="1:8" ht="12.75">
      <c r="A48" s="69"/>
      <c r="B48" s="6"/>
      <c r="C48" s="6"/>
      <c r="D48" s="6"/>
      <c r="E48" s="6"/>
      <c r="F48" s="6"/>
      <c r="G48" s="6"/>
      <c r="H48" s="70"/>
    </row>
    <row r="49" spans="1:8" ht="2.25" customHeight="1">
      <c r="A49" s="69"/>
      <c r="B49" s="6"/>
      <c r="C49" s="6"/>
      <c r="D49" s="6"/>
      <c r="E49" s="6"/>
      <c r="F49" s="6"/>
      <c r="G49" s="6"/>
      <c r="H49" s="70"/>
    </row>
    <row r="50" spans="1:8" ht="12.75" hidden="1">
      <c r="A50" s="69"/>
      <c r="B50" s="6"/>
      <c r="C50" s="6"/>
      <c r="D50" s="6"/>
      <c r="E50" s="6"/>
      <c r="F50" s="6"/>
      <c r="G50" s="6"/>
      <c r="H50" s="70"/>
    </row>
    <row r="51" spans="1:8" ht="1.5" customHeight="1">
      <c r="A51" s="69"/>
      <c r="B51" s="6"/>
      <c r="C51" s="6"/>
      <c r="D51" s="6"/>
      <c r="E51" s="6"/>
      <c r="F51" s="6"/>
      <c r="G51" s="6"/>
      <c r="H51" s="70"/>
    </row>
    <row r="52" spans="1:8" ht="13.5" thickBot="1">
      <c r="A52" s="69"/>
      <c r="B52" s="6"/>
      <c r="C52" s="6"/>
      <c r="D52" s="6"/>
      <c r="E52" s="6"/>
      <c r="F52" s="6"/>
      <c r="G52" s="6"/>
      <c r="H52" s="70"/>
    </row>
    <row r="53" spans="1:8" ht="13.5" thickBot="1">
      <c r="A53" s="612" t="s">
        <v>0</v>
      </c>
      <c r="B53" s="613"/>
      <c r="C53" s="613"/>
      <c r="D53" s="613"/>
      <c r="E53" s="613"/>
      <c r="F53" s="613"/>
      <c r="G53" s="613"/>
      <c r="H53" s="614"/>
    </row>
    <row r="54" spans="1:8" ht="13.5" thickBot="1">
      <c r="A54" s="69"/>
      <c r="B54" s="6"/>
      <c r="C54" s="6"/>
      <c r="D54" s="6"/>
      <c r="E54" s="6"/>
      <c r="F54" s="6"/>
      <c r="G54" s="6"/>
      <c r="H54" s="70"/>
    </row>
    <row r="55" spans="1:8" ht="13.5" thickTop="1">
      <c r="A55" s="622" t="s">
        <v>2</v>
      </c>
      <c r="B55" s="623"/>
      <c r="C55" s="177" t="s">
        <v>3</v>
      </c>
      <c r="D55" s="6"/>
      <c r="E55" s="6"/>
      <c r="F55" s="6"/>
      <c r="G55" s="6"/>
      <c r="H55" s="70"/>
    </row>
    <row r="56" spans="1:8" ht="12.75">
      <c r="A56" s="624" t="s">
        <v>1</v>
      </c>
      <c r="B56" s="625"/>
      <c r="C56" s="178" t="s">
        <v>207</v>
      </c>
      <c r="D56" s="6"/>
      <c r="E56" s="6"/>
      <c r="F56" s="6"/>
      <c r="G56" s="6"/>
      <c r="H56" s="70"/>
    </row>
    <row r="57" spans="1:8" ht="13.5" thickBot="1">
      <c r="A57" s="626" t="s">
        <v>4</v>
      </c>
      <c r="B57" s="627"/>
      <c r="C57" s="179" t="s">
        <v>66</v>
      </c>
      <c r="D57" s="6"/>
      <c r="E57" s="6"/>
      <c r="F57" s="6"/>
      <c r="G57" s="6"/>
      <c r="H57" s="70"/>
    </row>
    <row r="58" spans="1:8" ht="14.25" thickBot="1" thickTop="1">
      <c r="A58" s="69"/>
      <c r="B58" s="6"/>
      <c r="C58" s="6"/>
      <c r="D58" s="6"/>
      <c r="E58" s="6"/>
      <c r="F58" s="6"/>
      <c r="G58" s="6"/>
      <c r="H58" s="70"/>
    </row>
    <row r="59" spans="1:8" ht="13.5" thickBot="1">
      <c r="A59" s="609" t="s">
        <v>221</v>
      </c>
      <c r="B59" s="610"/>
      <c r="C59" s="610"/>
      <c r="D59" s="611"/>
      <c r="E59" s="609" t="s">
        <v>12</v>
      </c>
      <c r="F59" s="610"/>
      <c r="G59" s="610"/>
      <c r="H59" s="611"/>
    </row>
    <row r="60" spans="1:8" ht="12.75">
      <c r="A60" s="2"/>
      <c r="B60" s="3"/>
      <c r="C60" s="3"/>
      <c r="D60" s="4"/>
      <c r="E60" s="2"/>
      <c r="F60" s="3"/>
      <c r="G60" s="3"/>
      <c r="H60" s="4"/>
    </row>
    <row r="61" spans="1:8" ht="13.5">
      <c r="A61" s="184" t="s">
        <v>6</v>
      </c>
      <c r="B61" s="185"/>
      <c r="C61" s="186"/>
      <c r="D61" s="190">
        <v>222.3</v>
      </c>
      <c r="E61" s="184" t="s">
        <v>13</v>
      </c>
      <c r="F61" s="185"/>
      <c r="G61" s="186"/>
      <c r="H61" s="190">
        <v>2465</v>
      </c>
    </row>
    <row r="62" spans="1:8" ht="14.25" thickBot="1">
      <c r="A62" s="184" t="s">
        <v>7</v>
      </c>
      <c r="B62" s="185"/>
      <c r="C62" s="186"/>
      <c r="D62" s="202">
        <v>221.7</v>
      </c>
      <c r="E62" s="184" t="s">
        <v>14</v>
      </c>
      <c r="F62" s="185"/>
      <c r="G62" s="186"/>
      <c r="H62" s="190">
        <v>0</v>
      </c>
    </row>
    <row r="63" spans="1:8" ht="14.25" thickBot="1">
      <c r="A63" s="184" t="s">
        <v>8</v>
      </c>
      <c r="B63" s="185"/>
      <c r="C63" s="185"/>
      <c r="D63" s="244">
        <f>D61-D62</f>
        <v>0.6000000000000227</v>
      </c>
      <c r="E63" s="184" t="s">
        <v>15</v>
      </c>
      <c r="F63" s="185"/>
      <c r="G63" s="186"/>
      <c r="H63" s="190">
        <v>2465</v>
      </c>
    </row>
    <row r="64" spans="1:8" ht="14.25" thickBot="1">
      <c r="A64" s="184" t="s">
        <v>9</v>
      </c>
      <c r="B64" s="185"/>
      <c r="C64" s="186"/>
      <c r="D64" s="245">
        <v>85.6</v>
      </c>
      <c r="E64" s="184"/>
      <c r="F64" s="185"/>
      <c r="G64" s="186"/>
      <c r="H64" s="190"/>
    </row>
    <row r="65" spans="1:8" ht="14.25" thickBot="1">
      <c r="A65" s="184" t="s">
        <v>10</v>
      </c>
      <c r="B65" s="185"/>
      <c r="C65" s="185"/>
      <c r="D65" s="244">
        <f>D62-D64</f>
        <v>136.1</v>
      </c>
      <c r="E65" s="184"/>
      <c r="F65" s="185"/>
      <c r="G65" s="186"/>
      <c r="H65" s="202"/>
    </row>
    <row r="66" spans="1:10" ht="14.25" thickBot="1">
      <c r="A66" s="184" t="s">
        <v>11</v>
      </c>
      <c r="B66" s="185"/>
      <c r="C66" s="185"/>
      <c r="D66" s="246">
        <f>(D63/D65)*100</f>
        <v>0.4408523144746678</v>
      </c>
      <c r="E66" s="184" t="s">
        <v>16</v>
      </c>
      <c r="F66" s="185"/>
      <c r="G66" s="185" t="s">
        <v>17</v>
      </c>
      <c r="H66" s="247">
        <f>(H63*100)/(100+D66)</f>
        <v>2454.180687637161</v>
      </c>
      <c r="J66" s="1"/>
    </row>
    <row r="67" spans="1:8" ht="13.5">
      <c r="A67" s="184"/>
      <c r="B67" s="185"/>
      <c r="C67" s="186"/>
      <c r="D67" s="243"/>
      <c r="E67" s="184"/>
      <c r="F67" s="185"/>
      <c r="G67" s="186"/>
      <c r="H67" s="248"/>
    </row>
    <row r="68" spans="1:8" ht="14.25" thickBot="1">
      <c r="A68" s="184"/>
      <c r="B68" s="185"/>
      <c r="C68" s="186"/>
      <c r="D68" s="202"/>
      <c r="E68" s="184"/>
      <c r="F68" s="185"/>
      <c r="G68" s="186"/>
      <c r="H68" s="249"/>
    </row>
    <row r="69" spans="1:8" ht="14.25" thickBot="1">
      <c r="A69" s="184"/>
      <c r="B69" s="185"/>
      <c r="C69" s="185"/>
      <c r="D69" s="247">
        <f>D66</f>
        <v>0.4408523144746678</v>
      </c>
      <c r="E69" s="184" t="s">
        <v>18</v>
      </c>
      <c r="F69" s="185"/>
      <c r="G69" s="185"/>
      <c r="H69" s="247">
        <f>H62+H66</f>
        <v>2454.180687637161</v>
      </c>
    </row>
    <row r="70" spans="1:8" ht="13.5">
      <c r="A70" s="184"/>
      <c r="B70" s="185"/>
      <c r="C70" s="186"/>
      <c r="D70" s="243"/>
      <c r="E70" s="184"/>
      <c r="F70" s="185"/>
      <c r="G70" s="186"/>
      <c r="H70" s="243"/>
    </row>
    <row r="71" spans="1:8" ht="14.25" thickBot="1">
      <c r="A71" s="237"/>
      <c r="B71" s="238"/>
      <c r="C71" s="239"/>
      <c r="D71" s="241"/>
      <c r="E71" s="237"/>
      <c r="F71" s="238"/>
      <c r="G71" s="239"/>
      <c r="H71" s="241"/>
    </row>
    <row r="72" spans="1:8" ht="31.5" customHeight="1">
      <c r="A72" s="69"/>
      <c r="B72" s="6"/>
      <c r="C72" s="6"/>
      <c r="D72" s="72"/>
      <c r="E72" s="72"/>
      <c r="F72" s="72"/>
      <c r="G72" s="72"/>
      <c r="H72" s="73"/>
    </row>
    <row r="73" spans="1:8" ht="26.25" customHeight="1" thickBot="1">
      <c r="A73" s="24"/>
      <c r="B73" s="7"/>
      <c r="C73" s="7"/>
      <c r="D73" s="596"/>
      <c r="E73" s="596"/>
      <c r="F73" s="596"/>
      <c r="G73" s="596"/>
      <c r="H73" s="597"/>
    </row>
    <row r="74" spans="1:8" ht="16.5" customHeight="1" thickBot="1">
      <c r="A74" s="591"/>
      <c r="B74" s="8"/>
      <c r="C74" s="8"/>
      <c r="D74" s="598"/>
      <c r="E74" s="598"/>
      <c r="F74" s="598"/>
      <c r="G74" s="598"/>
      <c r="H74" s="599"/>
    </row>
    <row r="75" spans="1:8" ht="13.5" thickBot="1">
      <c r="A75" s="609" t="s">
        <v>40</v>
      </c>
      <c r="B75" s="610"/>
      <c r="C75" s="610"/>
      <c r="D75" s="610"/>
      <c r="E75" s="610"/>
      <c r="F75" s="610"/>
      <c r="G75" s="610"/>
      <c r="H75" s="611"/>
    </row>
    <row r="76" spans="1:8" ht="13.5" thickBot="1">
      <c r="A76" s="69"/>
      <c r="B76" s="6"/>
      <c r="C76" s="6"/>
      <c r="D76" s="6"/>
      <c r="E76" s="6"/>
      <c r="F76" s="6"/>
      <c r="G76" s="6"/>
      <c r="H76" s="70"/>
    </row>
    <row r="77" spans="1:8" ht="13.5" thickBot="1">
      <c r="A77" s="69"/>
      <c r="B77" s="618" t="s">
        <v>222</v>
      </c>
      <c r="C77" s="211" t="s">
        <v>19</v>
      </c>
      <c r="D77" s="620" t="s">
        <v>21</v>
      </c>
      <c r="E77" s="621"/>
      <c r="F77" s="212" t="s">
        <v>24</v>
      </c>
      <c r="G77" s="6"/>
      <c r="H77" s="70"/>
    </row>
    <row r="78" spans="1:8" ht="13.5" thickBot="1">
      <c r="A78" s="69"/>
      <c r="B78" s="619"/>
      <c r="C78" s="213" t="s">
        <v>20</v>
      </c>
      <c r="D78" s="214" t="s">
        <v>22</v>
      </c>
      <c r="E78" s="215" t="s">
        <v>23</v>
      </c>
      <c r="F78" s="227" t="s">
        <v>25</v>
      </c>
      <c r="G78" s="6"/>
      <c r="H78" s="70"/>
    </row>
    <row r="79" spans="1:8" ht="14.25" thickTop="1">
      <c r="A79" s="69"/>
      <c r="B79" s="250" t="s">
        <v>26</v>
      </c>
      <c r="C79" s="251">
        <v>0</v>
      </c>
      <c r="D79" s="252">
        <f>0</f>
        <v>0</v>
      </c>
      <c r="E79" s="257">
        <f>(D79/H69)*100</f>
        <v>0</v>
      </c>
      <c r="F79" s="259">
        <f>100-E79</f>
        <v>100</v>
      </c>
      <c r="G79" s="6"/>
      <c r="H79" s="70"/>
    </row>
    <row r="80" spans="1:8" ht="13.5">
      <c r="A80" s="69"/>
      <c r="B80" s="250" t="s">
        <v>27</v>
      </c>
      <c r="C80" s="251">
        <v>0</v>
      </c>
      <c r="D80" s="251">
        <f aca="true" t="shared" si="1" ref="D80:D85">D79+C80</f>
        <v>0</v>
      </c>
      <c r="E80" s="257">
        <f>(D80/H69)*100</f>
        <v>0</v>
      </c>
      <c r="F80" s="260">
        <f aca="true" t="shared" si="2" ref="F80:F85">100-E80</f>
        <v>100</v>
      </c>
      <c r="G80" s="6"/>
      <c r="H80" s="70"/>
    </row>
    <row r="81" spans="1:8" ht="13.5">
      <c r="A81" s="69"/>
      <c r="B81" s="250" t="s">
        <v>28</v>
      </c>
      <c r="C81" s="251">
        <v>0</v>
      </c>
      <c r="D81" s="251">
        <f t="shared" si="1"/>
        <v>0</v>
      </c>
      <c r="E81" s="257">
        <f>(D81/H69)*100</f>
        <v>0</v>
      </c>
      <c r="F81" s="260">
        <f t="shared" si="2"/>
        <v>100</v>
      </c>
      <c r="G81" s="6"/>
      <c r="H81" s="70"/>
    </row>
    <row r="82" spans="1:8" ht="13.5">
      <c r="A82" s="69"/>
      <c r="B82" s="250" t="s">
        <v>29</v>
      </c>
      <c r="C82" s="251">
        <v>0</v>
      </c>
      <c r="D82" s="251">
        <f t="shared" si="1"/>
        <v>0</v>
      </c>
      <c r="E82" s="257">
        <f>(D82/H69)*100</f>
        <v>0</v>
      </c>
      <c r="F82" s="260">
        <f t="shared" si="2"/>
        <v>100</v>
      </c>
      <c r="G82" s="6"/>
      <c r="H82" s="70"/>
    </row>
    <row r="83" spans="1:8" ht="13.5">
      <c r="A83" s="69"/>
      <c r="B83" s="250" t="s">
        <v>30</v>
      </c>
      <c r="C83" s="251">
        <v>0</v>
      </c>
      <c r="D83" s="251">
        <f t="shared" si="1"/>
        <v>0</v>
      </c>
      <c r="E83" s="257">
        <f>(D83/H69)*100</f>
        <v>0</v>
      </c>
      <c r="F83" s="260">
        <f t="shared" si="2"/>
        <v>100</v>
      </c>
      <c r="G83" s="6"/>
      <c r="H83" s="70"/>
    </row>
    <row r="84" spans="1:8" ht="13.5">
      <c r="A84" s="69"/>
      <c r="B84" s="250" t="s">
        <v>31</v>
      </c>
      <c r="C84" s="251">
        <v>0</v>
      </c>
      <c r="D84" s="251">
        <f t="shared" si="1"/>
        <v>0</v>
      </c>
      <c r="E84" s="257">
        <f>(D84/H69)*100</f>
        <v>0</v>
      </c>
      <c r="F84" s="260">
        <f t="shared" si="2"/>
        <v>100</v>
      </c>
      <c r="G84" s="6"/>
      <c r="H84" s="70"/>
    </row>
    <row r="85" spans="1:8" ht="14.25" thickBot="1">
      <c r="A85" s="69"/>
      <c r="B85" s="253" t="s">
        <v>32</v>
      </c>
      <c r="C85" s="254">
        <v>0</v>
      </c>
      <c r="D85" s="254">
        <f t="shared" si="1"/>
        <v>0</v>
      </c>
      <c r="E85" s="258">
        <f>(D85/H69)*100</f>
        <v>0</v>
      </c>
      <c r="F85" s="261">
        <f t="shared" si="2"/>
        <v>100</v>
      </c>
      <c r="G85" s="6"/>
      <c r="H85" s="70"/>
    </row>
    <row r="86" spans="1:8" ht="12.75">
      <c r="A86" s="69"/>
      <c r="B86" s="6"/>
      <c r="C86" s="6"/>
      <c r="D86" s="6"/>
      <c r="E86" s="68"/>
      <c r="F86" s="68"/>
      <c r="G86" s="6"/>
      <c r="H86" s="70"/>
    </row>
    <row r="87" spans="1:8" ht="12.75">
      <c r="A87" s="69"/>
      <c r="B87" s="6"/>
      <c r="C87" s="6"/>
      <c r="D87" s="6"/>
      <c r="E87" s="68"/>
      <c r="F87" s="68"/>
      <c r="G87" s="6"/>
      <c r="H87" s="70"/>
    </row>
    <row r="88" spans="1:8" ht="13.5" thickBot="1">
      <c r="A88" s="69"/>
      <c r="B88" s="6"/>
      <c r="C88" s="6"/>
      <c r="D88" s="6"/>
      <c r="E88" s="6"/>
      <c r="F88" s="6"/>
      <c r="G88" s="6"/>
      <c r="H88" s="70"/>
    </row>
    <row r="89" spans="1:8" ht="13.5" thickBot="1">
      <c r="A89" s="609" t="s">
        <v>33</v>
      </c>
      <c r="B89" s="610"/>
      <c r="C89" s="610"/>
      <c r="D89" s="610"/>
      <c r="E89" s="610"/>
      <c r="F89" s="610"/>
      <c r="G89" s="610"/>
      <c r="H89" s="611"/>
    </row>
    <row r="90" spans="1:11" ht="13.5" thickBot="1">
      <c r="A90" s="69"/>
      <c r="B90" s="6"/>
      <c r="C90" s="6"/>
      <c r="D90" s="6"/>
      <c r="E90" s="6"/>
      <c r="F90" s="6"/>
      <c r="G90" s="6"/>
      <c r="H90" s="70"/>
      <c r="J90">
        <f>C98-D95</f>
        <v>99.56108266276516</v>
      </c>
      <c r="K90">
        <f>(J90/C98)*100</f>
        <v>100</v>
      </c>
    </row>
    <row r="91" spans="1:11" ht="14.25" thickBot="1">
      <c r="A91" s="630" t="s">
        <v>34</v>
      </c>
      <c r="B91" s="631"/>
      <c r="C91" s="265">
        <v>100</v>
      </c>
      <c r="D91" s="6"/>
      <c r="E91" s="628" t="s">
        <v>16</v>
      </c>
      <c r="F91" s="629"/>
      <c r="G91" s="214" t="s">
        <v>38</v>
      </c>
      <c r="H91" s="266">
        <f>C91*100/(100+D69)</f>
        <v>99.56108266276516</v>
      </c>
      <c r="J91">
        <f>C98-D96</f>
        <v>96.56108266276516</v>
      </c>
      <c r="K91">
        <f>(J91/C98)*100</f>
        <v>96.98677443056576</v>
      </c>
    </row>
    <row r="92" spans="1:11" ht="13.5" thickBot="1">
      <c r="A92" s="69"/>
      <c r="B92" s="6"/>
      <c r="C92" s="6"/>
      <c r="D92" s="6"/>
      <c r="E92" s="6"/>
      <c r="F92" s="6"/>
      <c r="G92" s="6"/>
      <c r="H92" s="70"/>
      <c r="J92">
        <f>C98-D97</f>
        <v>80.76108266276516</v>
      </c>
      <c r="K92">
        <f>(J92/C98)*100</f>
        <v>81.11711976487877</v>
      </c>
    </row>
    <row r="93" spans="1:11" ht="13.5" thickBot="1">
      <c r="A93" s="69"/>
      <c r="B93" s="618" t="s">
        <v>222</v>
      </c>
      <c r="C93" s="212" t="s">
        <v>19</v>
      </c>
      <c r="D93" s="620" t="s">
        <v>21</v>
      </c>
      <c r="E93" s="621"/>
      <c r="F93" s="212" t="s">
        <v>24</v>
      </c>
      <c r="G93" s="212" t="s">
        <v>24</v>
      </c>
      <c r="H93" s="70"/>
      <c r="K93">
        <f>(J93/C98)*100</f>
        <v>0</v>
      </c>
    </row>
    <row r="94" spans="1:8" ht="13.5" thickBot="1">
      <c r="A94" s="69"/>
      <c r="B94" s="619"/>
      <c r="C94" s="215" t="s">
        <v>20</v>
      </c>
      <c r="D94" s="214" t="s">
        <v>22</v>
      </c>
      <c r="E94" s="215" t="s">
        <v>23</v>
      </c>
      <c r="F94" s="215" t="s">
        <v>39</v>
      </c>
      <c r="G94" s="227" t="s">
        <v>25</v>
      </c>
      <c r="H94" s="70"/>
    </row>
    <row r="95" spans="1:8" ht="14.25" thickTop="1">
      <c r="A95" s="69"/>
      <c r="B95" s="250"/>
      <c r="C95" s="251"/>
      <c r="D95" s="251"/>
      <c r="E95" s="251"/>
      <c r="F95" s="187"/>
      <c r="G95" s="270"/>
      <c r="H95" s="70"/>
    </row>
    <row r="96" spans="1:8" ht="13.5">
      <c r="A96" s="69"/>
      <c r="B96" s="250" t="s">
        <v>36</v>
      </c>
      <c r="C96" s="251">
        <v>3</v>
      </c>
      <c r="D96" s="251">
        <f>D95+C96</f>
        <v>3</v>
      </c>
      <c r="E96" s="251">
        <f>(D96/C98)*100</f>
        <v>3.01322556943424</v>
      </c>
      <c r="F96" s="187"/>
      <c r="G96" s="260">
        <f>100-E96</f>
        <v>96.98677443056576</v>
      </c>
      <c r="H96" s="70"/>
    </row>
    <row r="97" spans="1:8" ht="14.25" thickBot="1">
      <c r="A97" s="69"/>
      <c r="B97" s="253" t="s">
        <v>37</v>
      </c>
      <c r="C97" s="254">
        <v>15.8</v>
      </c>
      <c r="D97" s="254">
        <f>D96+C97</f>
        <v>18.8</v>
      </c>
      <c r="E97" s="254">
        <f>(D97/C98)*100</f>
        <v>18.882880235121238</v>
      </c>
      <c r="F97" s="269"/>
      <c r="G97" s="261">
        <f>100-E97</f>
        <v>81.11711976487877</v>
      </c>
      <c r="H97" s="70"/>
    </row>
    <row r="98" spans="1:8" ht="14.25" thickBot="1">
      <c r="A98" s="69"/>
      <c r="B98" s="262"/>
      <c r="C98" s="268">
        <f>H91</f>
        <v>99.56108266276516</v>
      </c>
      <c r="D98" s="262"/>
      <c r="E98" s="262"/>
      <c r="F98" s="262"/>
      <c r="G98" s="262"/>
      <c r="H98" s="70"/>
    </row>
    <row r="99" spans="1:8" ht="14.25" customHeight="1">
      <c r="A99" s="69"/>
      <c r="B99" s="6"/>
      <c r="C99" s="6"/>
      <c r="D99" s="6"/>
      <c r="E99" s="6"/>
      <c r="F99" s="6"/>
      <c r="G99" s="6"/>
      <c r="H99" s="70"/>
    </row>
    <row r="100" spans="1:8" ht="15.75" customHeight="1">
      <c r="A100" s="69"/>
      <c r="B100" s="6"/>
      <c r="C100" s="6"/>
      <c r="D100" s="6"/>
      <c r="E100" s="6"/>
      <c r="F100" s="6"/>
      <c r="G100" s="6"/>
      <c r="H100" s="70"/>
    </row>
    <row r="101" spans="1:8" ht="19.5" customHeight="1">
      <c r="A101" s="69"/>
      <c r="B101" s="6"/>
      <c r="C101" s="6"/>
      <c r="D101" s="6"/>
      <c r="E101" s="6"/>
      <c r="F101" s="6"/>
      <c r="G101" s="6"/>
      <c r="H101" s="70"/>
    </row>
    <row r="102" spans="1:8" ht="17.25" customHeight="1" thickBot="1">
      <c r="A102" s="69"/>
      <c r="B102" s="6"/>
      <c r="C102" s="6"/>
      <c r="D102" s="6"/>
      <c r="E102" s="6"/>
      <c r="F102" s="6"/>
      <c r="G102" s="6"/>
      <c r="H102" s="70"/>
    </row>
    <row r="103" spans="1:8" ht="1.5" customHeight="1" hidden="1" thickBot="1">
      <c r="A103" s="24"/>
      <c r="B103" s="7"/>
      <c r="C103" s="7"/>
      <c r="D103" s="7"/>
      <c r="E103" s="7"/>
      <c r="F103" s="7"/>
      <c r="G103" s="7"/>
      <c r="H103" s="25"/>
    </row>
    <row r="104" spans="1:8" ht="13.5" thickBot="1">
      <c r="A104" s="612" t="s">
        <v>0</v>
      </c>
      <c r="B104" s="613"/>
      <c r="C104" s="613"/>
      <c r="D104" s="613"/>
      <c r="E104" s="613"/>
      <c r="F104" s="613"/>
      <c r="G104" s="613"/>
      <c r="H104" s="614"/>
    </row>
    <row r="105" spans="1:8" ht="13.5" thickBot="1">
      <c r="A105" s="69"/>
      <c r="B105" s="6"/>
      <c r="C105" s="6"/>
      <c r="D105" s="6"/>
      <c r="E105" s="6"/>
      <c r="F105" s="6"/>
      <c r="G105" s="6"/>
      <c r="H105" s="70"/>
    </row>
    <row r="106" spans="1:8" ht="13.5" thickTop="1">
      <c r="A106" s="622" t="s">
        <v>2</v>
      </c>
      <c r="B106" s="623"/>
      <c r="C106" s="177" t="s">
        <v>3</v>
      </c>
      <c r="D106" s="6"/>
      <c r="E106" s="6"/>
      <c r="F106" s="6"/>
      <c r="G106" s="6"/>
      <c r="H106" s="70"/>
    </row>
    <row r="107" spans="1:8" ht="12.75">
      <c r="A107" s="624" t="s">
        <v>1</v>
      </c>
      <c r="B107" s="625"/>
      <c r="C107" s="178" t="s">
        <v>208</v>
      </c>
      <c r="D107" s="6"/>
      <c r="E107" s="6"/>
      <c r="F107" s="6"/>
      <c r="G107" s="6"/>
      <c r="H107" s="70"/>
    </row>
    <row r="108" spans="1:8" ht="13.5" thickBot="1">
      <c r="A108" s="626" t="s">
        <v>4</v>
      </c>
      <c r="B108" s="627"/>
      <c r="C108" s="179" t="s">
        <v>67</v>
      </c>
      <c r="D108" s="6"/>
      <c r="E108" s="6"/>
      <c r="F108" s="6"/>
      <c r="G108" s="6"/>
      <c r="H108" s="70"/>
    </row>
    <row r="109" spans="1:8" ht="14.25" thickBot="1" thickTop="1">
      <c r="A109" s="69"/>
      <c r="B109" s="6"/>
      <c r="C109" s="6"/>
      <c r="D109" s="6"/>
      <c r="E109" s="6"/>
      <c r="F109" s="6"/>
      <c r="G109" s="6"/>
      <c r="H109" s="70"/>
    </row>
    <row r="110" spans="1:8" ht="13.5" thickBot="1">
      <c r="A110" s="609" t="s">
        <v>221</v>
      </c>
      <c r="B110" s="610"/>
      <c r="C110" s="610"/>
      <c r="D110" s="611"/>
      <c r="E110" s="609" t="s">
        <v>12</v>
      </c>
      <c r="F110" s="610"/>
      <c r="G110" s="610"/>
      <c r="H110" s="611"/>
    </row>
    <row r="111" spans="1:8" ht="12.75">
      <c r="A111" s="2"/>
      <c r="B111" s="3"/>
      <c r="C111" s="3"/>
      <c r="D111" s="4"/>
      <c r="E111" s="2"/>
      <c r="F111" s="3"/>
      <c r="G111" s="3"/>
      <c r="H111" s="4"/>
    </row>
    <row r="112" spans="1:8" ht="13.5">
      <c r="A112" s="184" t="s">
        <v>217</v>
      </c>
      <c r="B112" s="185"/>
      <c r="C112" s="186"/>
      <c r="D112" s="242">
        <v>210.5</v>
      </c>
      <c r="E112" s="271" t="s">
        <v>13</v>
      </c>
      <c r="F112" s="272"/>
      <c r="G112" s="273"/>
      <c r="H112" s="242">
        <v>1999</v>
      </c>
    </row>
    <row r="113" spans="1:8" ht="13.5">
      <c r="A113" s="184" t="s">
        <v>7</v>
      </c>
      <c r="B113" s="185"/>
      <c r="C113" s="186"/>
      <c r="D113" s="242">
        <v>204.3</v>
      </c>
      <c r="E113" s="271" t="s">
        <v>14</v>
      </c>
      <c r="F113" s="272"/>
      <c r="G113" s="273"/>
      <c r="H113" s="242">
        <v>0</v>
      </c>
    </row>
    <row r="114" spans="1:8" ht="13.5">
      <c r="A114" s="184" t="s">
        <v>218</v>
      </c>
      <c r="B114" s="185"/>
      <c r="C114" s="186"/>
      <c r="D114" s="274">
        <f>D112-D113</f>
        <v>6.199999999999989</v>
      </c>
      <c r="E114" s="271" t="s">
        <v>15</v>
      </c>
      <c r="F114" s="272"/>
      <c r="G114" s="273"/>
      <c r="H114" s="242">
        <v>1999</v>
      </c>
    </row>
    <row r="115" spans="1:8" ht="13.5">
      <c r="A115" s="184" t="s">
        <v>219</v>
      </c>
      <c r="B115" s="185"/>
      <c r="C115" s="186"/>
      <c r="D115" s="242">
        <v>96.7</v>
      </c>
      <c r="E115" s="271"/>
      <c r="F115" s="272"/>
      <c r="G115" s="273"/>
      <c r="H115" s="242"/>
    </row>
    <row r="116" spans="1:8" ht="13.5">
      <c r="A116" s="184" t="s">
        <v>10</v>
      </c>
      <c r="B116" s="185"/>
      <c r="C116" s="186"/>
      <c r="D116" s="274">
        <f>D113-D115</f>
        <v>107.60000000000001</v>
      </c>
      <c r="E116" s="271"/>
      <c r="F116" s="272"/>
      <c r="G116" s="273"/>
      <c r="H116" s="242"/>
    </row>
    <row r="117" spans="1:8" ht="13.5">
      <c r="A117" s="184" t="s">
        <v>220</v>
      </c>
      <c r="B117" s="185"/>
      <c r="C117" s="186"/>
      <c r="D117" s="274">
        <f>(D114/D116)*100</f>
        <v>5.762081784386606</v>
      </c>
      <c r="E117" s="271" t="s">
        <v>16</v>
      </c>
      <c r="F117" s="272"/>
      <c r="G117" s="273" t="s">
        <v>17</v>
      </c>
      <c r="H117" s="274">
        <f>(H114*100)/(100+D117)</f>
        <v>1890.0913884007032</v>
      </c>
    </row>
    <row r="118" spans="1:8" ht="13.5">
      <c r="A118" s="184"/>
      <c r="B118" s="185"/>
      <c r="C118" s="186"/>
      <c r="D118" s="242"/>
      <c r="E118" s="271"/>
      <c r="F118" s="272"/>
      <c r="G118" s="273"/>
      <c r="H118" s="242"/>
    </row>
    <row r="119" spans="1:8" ht="13.5">
      <c r="A119" s="184"/>
      <c r="B119" s="185"/>
      <c r="C119" s="186"/>
      <c r="D119" s="242"/>
      <c r="E119" s="271"/>
      <c r="F119" s="272"/>
      <c r="G119" s="273"/>
      <c r="H119" s="242"/>
    </row>
    <row r="120" spans="1:8" ht="13.5">
      <c r="A120" s="184"/>
      <c r="B120" s="185"/>
      <c r="C120" s="186"/>
      <c r="D120" s="274">
        <f>D117</f>
        <v>5.762081784386606</v>
      </c>
      <c r="E120" s="271" t="s">
        <v>18</v>
      </c>
      <c r="F120" s="272"/>
      <c r="G120" s="273"/>
      <c r="H120" s="274">
        <f>H113+H117</f>
        <v>1890.0913884007032</v>
      </c>
    </row>
    <row r="121" spans="1:8" ht="13.5">
      <c r="A121" s="184"/>
      <c r="B121" s="185"/>
      <c r="C121" s="186"/>
      <c r="D121" s="236"/>
      <c r="E121" s="271"/>
      <c r="F121" s="272"/>
      <c r="G121" s="273"/>
      <c r="H121" s="236"/>
    </row>
    <row r="122" spans="1:8" ht="14.25" thickBot="1">
      <c r="A122" s="237"/>
      <c r="B122" s="238"/>
      <c r="C122" s="239"/>
      <c r="D122" s="240"/>
      <c r="E122" s="237"/>
      <c r="F122" s="238"/>
      <c r="G122" s="239"/>
      <c r="H122" s="240"/>
    </row>
    <row r="123" spans="1:8" ht="12.75">
      <c r="A123" s="69"/>
      <c r="B123" s="6"/>
      <c r="C123" s="6"/>
      <c r="D123" s="6"/>
      <c r="E123" s="6"/>
      <c r="F123" s="6"/>
      <c r="G123" s="6"/>
      <c r="H123" s="70"/>
    </row>
    <row r="124" spans="1:8" ht="0.75" customHeight="1">
      <c r="A124" s="69"/>
      <c r="B124" s="6"/>
      <c r="C124" s="6"/>
      <c r="D124" s="6"/>
      <c r="E124" s="6"/>
      <c r="F124" s="6"/>
      <c r="G124" s="6"/>
      <c r="H124" s="70"/>
    </row>
    <row r="125" spans="1:8" ht="6.75" customHeight="1" thickBot="1">
      <c r="A125" s="69"/>
      <c r="B125" s="6"/>
      <c r="C125" s="6"/>
      <c r="D125" s="6"/>
      <c r="E125" s="6"/>
      <c r="F125" s="6"/>
      <c r="G125" s="6"/>
      <c r="H125" s="70"/>
    </row>
    <row r="126" spans="1:8" ht="13.5" thickBot="1">
      <c r="A126" s="609" t="s">
        <v>40</v>
      </c>
      <c r="B126" s="610"/>
      <c r="C126" s="610"/>
      <c r="D126" s="610"/>
      <c r="E126" s="610"/>
      <c r="F126" s="610"/>
      <c r="G126" s="610"/>
      <c r="H126" s="611"/>
    </row>
    <row r="127" spans="1:8" ht="13.5" thickBot="1">
      <c r="A127" s="69"/>
      <c r="B127" s="6"/>
      <c r="C127" s="6"/>
      <c r="D127" s="6"/>
      <c r="E127" s="6"/>
      <c r="F127" s="6"/>
      <c r="G127" s="6"/>
      <c r="H127" s="70"/>
    </row>
    <row r="128" spans="1:8" ht="13.5" thickBot="1">
      <c r="A128" s="69"/>
      <c r="B128" s="618" t="s">
        <v>222</v>
      </c>
      <c r="C128" s="211" t="s">
        <v>19</v>
      </c>
      <c r="D128" s="620" t="s">
        <v>21</v>
      </c>
      <c r="E128" s="621"/>
      <c r="F128" s="212" t="s">
        <v>24</v>
      </c>
      <c r="G128" s="6"/>
      <c r="H128" s="70"/>
    </row>
    <row r="129" spans="1:8" ht="13.5" thickBot="1">
      <c r="A129" s="69"/>
      <c r="B129" s="619"/>
      <c r="C129" s="213" t="s">
        <v>20</v>
      </c>
      <c r="D129" s="214" t="s">
        <v>22</v>
      </c>
      <c r="E129" s="215" t="s">
        <v>23</v>
      </c>
      <c r="F129" s="227" t="s">
        <v>25</v>
      </c>
      <c r="G129" s="6"/>
      <c r="H129" s="70"/>
    </row>
    <row r="130" spans="1:8" ht="14.25" thickTop="1">
      <c r="A130" s="69"/>
      <c r="B130" s="250" t="s">
        <v>26</v>
      </c>
      <c r="C130" s="252">
        <v>0</v>
      </c>
      <c r="D130" s="252">
        <f>0</f>
        <v>0</v>
      </c>
      <c r="E130" s="257">
        <f>(D130/H120)*100</f>
        <v>0</v>
      </c>
      <c r="F130" s="259">
        <f>100-E130</f>
        <v>100</v>
      </c>
      <c r="G130" s="6"/>
      <c r="H130" s="70"/>
    </row>
    <row r="131" spans="1:8" ht="13.5">
      <c r="A131" s="69"/>
      <c r="B131" s="250" t="s">
        <v>27</v>
      </c>
      <c r="C131" s="252">
        <v>0</v>
      </c>
      <c r="D131" s="252">
        <f aca="true" t="shared" si="3" ref="D131:D136">D130+C131</f>
        <v>0</v>
      </c>
      <c r="E131" s="257">
        <f>(D131/H120)*100</f>
        <v>0</v>
      </c>
      <c r="F131" s="260">
        <f aca="true" t="shared" si="4" ref="F131:F136">100-E131</f>
        <v>100</v>
      </c>
      <c r="G131" s="6"/>
      <c r="H131" s="70"/>
    </row>
    <row r="132" spans="1:8" ht="13.5">
      <c r="A132" s="69"/>
      <c r="B132" s="250" t="s">
        <v>28</v>
      </c>
      <c r="C132" s="252">
        <v>0</v>
      </c>
      <c r="D132" s="252">
        <f t="shared" si="3"/>
        <v>0</v>
      </c>
      <c r="E132" s="257">
        <f>(D132/H120)*100</f>
        <v>0</v>
      </c>
      <c r="F132" s="260">
        <f t="shared" si="4"/>
        <v>100</v>
      </c>
      <c r="G132" s="6"/>
      <c r="H132" s="70"/>
    </row>
    <row r="133" spans="1:8" ht="13.5">
      <c r="A133" s="69"/>
      <c r="B133" s="250" t="s">
        <v>29</v>
      </c>
      <c r="C133" s="252">
        <v>0</v>
      </c>
      <c r="D133" s="252">
        <f t="shared" si="3"/>
        <v>0</v>
      </c>
      <c r="E133" s="257">
        <f>(D133/H120)*100</f>
        <v>0</v>
      </c>
      <c r="F133" s="260">
        <f t="shared" si="4"/>
        <v>100</v>
      </c>
      <c r="G133" s="6"/>
      <c r="H133" s="70"/>
    </row>
    <row r="134" spans="1:8" ht="13.5">
      <c r="A134" s="69"/>
      <c r="B134" s="250" t="s">
        <v>30</v>
      </c>
      <c r="C134" s="252">
        <v>0</v>
      </c>
      <c r="D134" s="252">
        <f t="shared" si="3"/>
        <v>0</v>
      </c>
      <c r="E134" s="257">
        <f>(D134/H120)*100</f>
        <v>0</v>
      </c>
      <c r="F134" s="260">
        <f t="shared" si="4"/>
        <v>100</v>
      </c>
      <c r="G134" s="6"/>
      <c r="H134" s="70"/>
    </row>
    <row r="135" spans="1:8" ht="13.5">
      <c r="A135" s="69"/>
      <c r="B135" s="250" t="s">
        <v>31</v>
      </c>
      <c r="C135" s="252">
        <v>0</v>
      </c>
      <c r="D135" s="252">
        <f t="shared" si="3"/>
        <v>0</v>
      </c>
      <c r="E135" s="257">
        <f>(D135/H120)*100</f>
        <v>0</v>
      </c>
      <c r="F135" s="260">
        <f t="shared" si="4"/>
        <v>100</v>
      </c>
      <c r="G135" s="6"/>
      <c r="H135" s="70"/>
    </row>
    <row r="136" spans="1:8" ht="14.25" thickBot="1">
      <c r="A136" s="69"/>
      <c r="B136" s="253" t="s">
        <v>32</v>
      </c>
      <c r="C136" s="255">
        <v>0</v>
      </c>
      <c r="D136" s="255">
        <f t="shared" si="3"/>
        <v>0</v>
      </c>
      <c r="E136" s="258">
        <f>(D136/H120)*100</f>
        <v>0</v>
      </c>
      <c r="F136" s="261">
        <f t="shared" si="4"/>
        <v>100</v>
      </c>
      <c r="G136" s="6"/>
      <c r="H136" s="70"/>
    </row>
    <row r="137" spans="1:8" ht="13.5" thickBot="1">
      <c r="A137" s="69"/>
      <c r="B137" s="6"/>
      <c r="C137" s="6"/>
      <c r="D137" s="6"/>
      <c r="E137" s="6"/>
      <c r="F137" s="6"/>
      <c r="G137" s="6"/>
      <c r="H137" s="70"/>
    </row>
    <row r="138" spans="1:8" ht="13.5" thickBot="1">
      <c r="A138" s="609" t="s">
        <v>33</v>
      </c>
      <c r="B138" s="610"/>
      <c r="C138" s="610"/>
      <c r="D138" s="610"/>
      <c r="E138" s="610"/>
      <c r="F138" s="610"/>
      <c r="G138" s="610"/>
      <c r="H138" s="611"/>
    </row>
    <row r="139" spans="1:8" ht="13.5" thickBot="1">
      <c r="A139" s="69"/>
      <c r="B139" s="6"/>
      <c r="C139" s="6"/>
      <c r="D139" s="6"/>
      <c r="E139" s="6"/>
      <c r="F139" s="6"/>
      <c r="G139" s="6"/>
      <c r="H139" s="70"/>
    </row>
    <row r="140" spans="1:8" ht="14.25" thickBot="1">
      <c r="A140" s="630" t="s">
        <v>34</v>
      </c>
      <c r="B140" s="631"/>
      <c r="C140" s="265">
        <v>100</v>
      </c>
      <c r="D140" s="6"/>
      <c r="E140" s="628" t="s">
        <v>16</v>
      </c>
      <c r="F140" s="629"/>
      <c r="G140" s="214" t="s">
        <v>38</v>
      </c>
      <c r="H140" s="266">
        <f>C140*100/(100+D120)</f>
        <v>94.55184534270651</v>
      </c>
    </row>
    <row r="141" spans="1:8" ht="13.5" thickBot="1">
      <c r="A141" s="69"/>
      <c r="B141" s="6"/>
      <c r="C141" s="6"/>
      <c r="D141" s="6"/>
      <c r="E141" s="6"/>
      <c r="F141" s="6"/>
      <c r="G141" s="6"/>
      <c r="H141" s="70"/>
    </row>
    <row r="142" spans="1:8" ht="13.5" thickBot="1">
      <c r="A142" s="69"/>
      <c r="B142" s="618" t="s">
        <v>222</v>
      </c>
      <c r="C142" s="212" t="s">
        <v>19</v>
      </c>
      <c r="D142" s="620" t="s">
        <v>21</v>
      </c>
      <c r="E142" s="621"/>
      <c r="F142" s="212" t="s">
        <v>24</v>
      </c>
      <c r="G142" s="212" t="s">
        <v>24</v>
      </c>
      <c r="H142" s="70"/>
    </row>
    <row r="143" spans="1:8" ht="13.5" thickBot="1">
      <c r="A143" s="69"/>
      <c r="B143" s="619"/>
      <c r="C143" s="215" t="s">
        <v>20</v>
      </c>
      <c r="D143" s="214" t="s">
        <v>22</v>
      </c>
      <c r="E143" s="215" t="s">
        <v>23</v>
      </c>
      <c r="F143" s="215" t="s">
        <v>39</v>
      </c>
      <c r="G143" s="227" t="s">
        <v>25</v>
      </c>
      <c r="H143" s="70"/>
    </row>
    <row r="144" spans="1:8" ht="14.25" thickTop="1">
      <c r="A144" s="69"/>
      <c r="B144" s="250" t="s">
        <v>35</v>
      </c>
      <c r="C144" s="251"/>
      <c r="D144" s="251"/>
      <c r="E144" s="251"/>
      <c r="F144" s="187"/>
      <c r="G144" s="270"/>
      <c r="H144" s="70"/>
    </row>
    <row r="145" spans="1:8" ht="13.5">
      <c r="A145" s="69"/>
      <c r="B145" s="250" t="s">
        <v>36</v>
      </c>
      <c r="C145" s="252">
        <v>2.1</v>
      </c>
      <c r="D145" s="252">
        <f>D144+C145</f>
        <v>2.1</v>
      </c>
      <c r="E145" s="252">
        <f>(D145/C147)*100</f>
        <v>2.2210037174721187</v>
      </c>
      <c r="F145" s="257"/>
      <c r="G145" s="260">
        <f>100-E145</f>
        <v>97.77899628252788</v>
      </c>
      <c r="H145" s="70"/>
    </row>
    <row r="146" spans="1:8" ht="14.25" thickBot="1">
      <c r="A146" s="69"/>
      <c r="B146" s="253" t="s">
        <v>37</v>
      </c>
      <c r="C146" s="255">
        <v>7.3</v>
      </c>
      <c r="D146" s="255">
        <f>D145+C146</f>
        <v>9.4</v>
      </c>
      <c r="E146" s="255">
        <f>(D146/C147)*100</f>
        <v>9.94163568773234</v>
      </c>
      <c r="F146" s="258"/>
      <c r="G146" s="261">
        <f>100-E146</f>
        <v>90.05836431226766</v>
      </c>
      <c r="H146" s="70"/>
    </row>
    <row r="147" spans="1:8" ht="14.25" thickBot="1">
      <c r="A147" s="24"/>
      <c r="B147" s="7"/>
      <c r="C147" s="275">
        <f>H140</f>
        <v>94.55184534270651</v>
      </c>
      <c r="D147" s="174"/>
      <c r="E147" s="174"/>
      <c r="F147" s="174"/>
      <c r="G147" s="174"/>
      <c r="H147" s="25"/>
    </row>
    <row r="148" spans="1:8" ht="12.75">
      <c r="A148" s="591"/>
      <c r="B148" s="8"/>
      <c r="C148" s="8"/>
      <c r="D148" s="8"/>
      <c r="E148" s="8"/>
      <c r="F148" s="8"/>
      <c r="G148" s="8"/>
      <c r="H148" s="592"/>
    </row>
    <row r="149" spans="1:8" ht="12.75">
      <c r="A149" s="69"/>
      <c r="B149" s="6"/>
      <c r="C149" s="6"/>
      <c r="D149" s="6"/>
      <c r="E149" s="6"/>
      <c r="F149" s="6"/>
      <c r="G149" s="6"/>
      <c r="H149" s="70"/>
    </row>
    <row r="150" spans="1:8" ht="27" customHeight="1">
      <c r="A150" s="69"/>
      <c r="B150" s="6"/>
      <c r="C150" s="6"/>
      <c r="D150" s="6"/>
      <c r="E150" s="6"/>
      <c r="F150" s="6"/>
      <c r="G150" s="6"/>
      <c r="H150" s="70"/>
    </row>
    <row r="151" spans="1:8" ht="12.75">
      <c r="A151" s="69"/>
      <c r="B151" s="6"/>
      <c r="C151" s="6"/>
      <c r="D151" s="6"/>
      <c r="E151" s="6"/>
      <c r="F151" s="6"/>
      <c r="G151" s="6"/>
      <c r="H151" s="70"/>
    </row>
    <row r="152" spans="1:8" ht="12.75">
      <c r="A152" s="69"/>
      <c r="B152" s="6"/>
      <c r="C152" s="6"/>
      <c r="D152" s="6"/>
      <c r="E152" s="6"/>
      <c r="F152" s="6"/>
      <c r="G152" s="6"/>
      <c r="H152" s="70"/>
    </row>
    <row r="153" spans="1:8" ht="13.5" thickBot="1">
      <c r="A153" s="69"/>
      <c r="B153" s="6"/>
      <c r="C153" s="6"/>
      <c r="D153" s="6"/>
      <c r="E153" s="6"/>
      <c r="F153" s="6"/>
      <c r="G153" s="6"/>
      <c r="H153" s="70"/>
    </row>
    <row r="154" spans="1:8" ht="13.5" thickBot="1">
      <c r="A154" s="612" t="s">
        <v>0</v>
      </c>
      <c r="B154" s="613"/>
      <c r="C154" s="613"/>
      <c r="D154" s="613"/>
      <c r="E154" s="613"/>
      <c r="F154" s="613"/>
      <c r="G154" s="613"/>
      <c r="H154" s="614"/>
    </row>
    <row r="155" spans="1:8" ht="13.5" thickBot="1">
      <c r="A155" s="69"/>
      <c r="B155" s="6"/>
      <c r="C155" s="6"/>
      <c r="D155" s="6"/>
      <c r="E155" s="6"/>
      <c r="F155" s="6"/>
      <c r="G155" s="6"/>
      <c r="H155" s="70"/>
    </row>
    <row r="156" spans="1:8" ht="13.5" thickTop="1">
      <c r="A156" s="622" t="s">
        <v>2</v>
      </c>
      <c r="B156" s="623"/>
      <c r="C156" s="177" t="s">
        <v>3</v>
      </c>
      <c r="D156" s="6"/>
      <c r="E156" s="6"/>
      <c r="F156" s="6"/>
      <c r="G156" s="6"/>
      <c r="H156" s="70"/>
    </row>
    <row r="157" spans="1:8" ht="12.75">
      <c r="A157" s="624" t="s">
        <v>1</v>
      </c>
      <c r="B157" s="625"/>
      <c r="C157" s="178" t="s">
        <v>209</v>
      </c>
      <c r="D157" s="6"/>
      <c r="E157" s="6"/>
      <c r="F157" s="6"/>
      <c r="G157" s="6"/>
      <c r="H157" s="70"/>
    </row>
    <row r="158" spans="1:8" ht="13.5" thickBot="1">
      <c r="A158" s="626" t="s">
        <v>4</v>
      </c>
      <c r="B158" s="627"/>
      <c r="C158" s="179" t="s">
        <v>68</v>
      </c>
      <c r="D158" s="6"/>
      <c r="E158" s="6"/>
      <c r="F158" s="6"/>
      <c r="G158" s="6"/>
      <c r="H158" s="70"/>
    </row>
    <row r="159" spans="1:8" ht="14.25" thickBot="1" thickTop="1">
      <c r="A159" s="69"/>
      <c r="B159" s="6"/>
      <c r="C159" s="6"/>
      <c r="D159" s="6"/>
      <c r="E159" s="6"/>
      <c r="F159" s="6"/>
      <c r="G159" s="6"/>
      <c r="H159" s="70"/>
    </row>
    <row r="160" spans="1:8" ht="13.5" thickBot="1">
      <c r="A160" s="609" t="s">
        <v>221</v>
      </c>
      <c r="B160" s="610"/>
      <c r="C160" s="610"/>
      <c r="D160" s="611"/>
      <c r="E160" s="609" t="s">
        <v>12</v>
      </c>
      <c r="F160" s="610"/>
      <c r="G160" s="610"/>
      <c r="H160" s="611"/>
    </row>
    <row r="161" spans="1:8" ht="12.75">
      <c r="A161" s="2"/>
      <c r="B161" s="3"/>
      <c r="C161" s="3"/>
      <c r="D161" s="4"/>
      <c r="E161" s="2"/>
      <c r="F161" s="3"/>
      <c r="G161" s="3"/>
      <c r="H161" s="4"/>
    </row>
    <row r="162" spans="1:8" ht="13.5">
      <c r="A162" s="184" t="s">
        <v>217</v>
      </c>
      <c r="B162" s="185"/>
      <c r="C162" s="186"/>
      <c r="D162" s="242">
        <v>202.5</v>
      </c>
      <c r="E162" s="271" t="s">
        <v>13</v>
      </c>
      <c r="F162" s="272"/>
      <c r="G162" s="273"/>
      <c r="H162" s="242">
        <v>1953</v>
      </c>
    </row>
    <row r="163" spans="1:8" ht="14.25" thickBot="1">
      <c r="A163" s="184" t="s">
        <v>7</v>
      </c>
      <c r="B163" s="185"/>
      <c r="C163" s="186"/>
      <c r="D163" s="249">
        <v>202</v>
      </c>
      <c r="E163" s="271" t="s">
        <v>14</v>
      </c>
      <c r="F163" s="272"/>
      <c r="G163" s="273"/>
      <c r="H163" s="242">
        <v>100</v>
      </c>
    </row>
    <row r="164" spans="1:8" ht="14.25" thickBot="1">
      <c r="A164" s="184" t="s">
        <v>218</v>
      </c>
      <c r="B164" s="185"/>
      <c r="C164" s="185"/>
      <c r="D164" s="247">
        <f>D162-D163</f>
        <v>0.5</v>
      </c>
      <c r="E164" s="271" t="s">
        <v>15</v>
      </c>
      <c r="F164" s="272"/>
      <c r="G164" s="273"/>
      <c r="H164" s="242">
        <v>1853</v>
      </c>
    </row>
    <row r="165" spans="1:8" ht="14.25" thickBot="1">
      <c r="A165" s="184" t="s">
        <v>219</v>
      </c>
      <c r="B165" s="185"/>
      <c r="C165" s="186"/>
      <c r="D165" s="276">
        <v>85.8</v>
      </c>
      <c r="E165" s="271"/>
      <c r="F165" s="272"/>
      <c r="G165" s="273"/>
      <c r="H165" s="242"/>
    </row>
    <row r="166" spans="1:8" ht="14.25" thickBot="1">
      <c r="A166" s="184" t="s">
        <v>10</v>
      </c>
      <c r="B166" s="185"/>
      <c r="C166" s="185"/>
      <c r="D166" s="247">
        <f>D163-D165</f>
        <v>116.2</v>
      </c>
      <c r="E166" s="271"/>
      <c r="F166" s="272"/>
      <c r="G166" s="273"/>
      <c r="H166" s="249"/>
    </row>
    <row r="167" spans="1:8" ht="14.25" thickBot="1">
      <c r="A167" s="184" t="s">
        <v>220</v>
      </c>
      <c r="B167" s="185"/>
      <c r="C167" s="185"/>
      <c r="D167" s="246">
        <f>(D164/D166)*100</f>
        <v>0.4302925989672977</v>
      </c>
      <c r="E167" s="271" t="s">
        <v>16</v>
      </c>
      <c r="F167" s="272"/>
      <c r="G167" s="272" t="s">
        <v>17</v>
      </c>
      <c r="H167" s="247">
        <f>(H164*100)/(100+D167)</f>
        <v>1845.0608397600686</v>
      </c>
    </row>
    <row r="168" spans="1:8" ht="13.5">
      <c r="A168" s="184"/>
      <c r="B168" s="185"/>
      <c r="C168" s="186"/>
      <c r="D168" s="248"/>
      <c r="E168" s="271"/>
      <c r="F168" s="272"/>
      <c r="G168" s="273"/>
      <c r="H168" s="248"/>
    </row>
    <row r="169" spans="1:8" ht="14.25" thickBot="1">
      <c r="A169" s="184"/>
      <c r="B169" s="185"/>
      <c r="C169" s="186"/>
      <c r="D169" s="249"/>
      <c r="E169" s="271"/>
      <c r="F169" s="272"/>
      <c r="G169" s="273"/>
      <c r="H169" s="249"/>
    </row>
    <row r="170" spans="1:8" ht="14.25" thickBot="1">
      <c r="A170" s="184"/>
      <c r="B170" s="185"/>
      <c r="C170" s="185"/>
      <c r="D170" s="247">
        <f>D167</f>
        <v>0.4302925989672977</v>
      </c>
      <c r="E170" s="271" t="s">
        <v>18</v>
      </c>
      <c r="F170" s="272"/>
      <c r="G170" s="272"/>
      <c r="H170" s="247">
        <f>H163+H167</f>
        <v>1945.0608397600686</v>
      </c>
    </row>
    <row r="171" spans="1:8" ht="13.5">
      <c r="A171" s="184"/>
      <c r="B171" s="185"/>
      <c r="C171" s="186"/>
      <c r="D171" s="277"/>
      <c r="E171" s="271"/>
      <c r="F171" s="272"/>
      <c r="G171" s="273"/>
      <c r="H171" s="277"/>
    </row>
    <row r="172" spans="1:8" ht="14.25" thickBot="1">
      <c r="A172" s="237"/>
      <c r="B172" s="238"/>
      <c r="C172" s="239"/>
      <c r="D172" s="240"/>
      <c r="E172" s="237"/>
      <c r="F172" s="238"/>
      <c r="G172" s="239"/>
      <c r="H172" s="240"/>
    </row>
    <row r="173" spans="1:8" ht="12.75">
      <c r="A173" s="69"/>
      <c r="B173" s="6"/>
      <c r="C173" s="6"/>
      <c r="D173" s="6"/>
      <c r="E173" s="6"/>
      <c r="F173" s="6"/>
      <c r="G173" s="6"/>
      <c r="H173" s="70"/>
    </row>
    <row r="174" spans="1:8" ht="12.75">
      <c r="A174" s="69"/>
      <c r="B174" s="6"/>
      <c r="C174" s="6"/>
      <c r="D174" s="6"/>
      <c r="E174" s="6"/>
      <c r="F174" s="6"/>
      <c r="G174" s="6"/>
      <c r="H174" s="70"/>
    </row>
    <row r="175" spans="1:8" ht="13.5" thickBot="1">
      <c r="A175" s="69"/>
      <c r="B175" s="6"/>
      <c r="C175" s="6"/>
      <c r="D175" s="6"/>
      <c r="E175" s="6"/>
      <c r="F175" s="6"/>
      <c r="G175" s="6"/>
      <c r="H175" s="70"/>
    </row>
    <row r="176" spans="1:8" ht="13.5" thickBot="1">
      <c r="A176" s="609" t="s">
        <v>40</v>
      </c>
      <c r="B176" s="610"/>
      <c r="C176" s="610"/>
      <c r="D176" s="610"/>
      <c r="E176" s="610"/>
      <c r="F176" s="610"/>
      <c r="G176" s="610"/>
      <c r="H176" s="611"/>
    </row>
    <row r="177" spans="1:8" ht="13.5" thickBot="1">
      <c r="A177" s="74"/>
      <c r="B177" s="75"/>
      <c r="C177" s="75"/>
      <c r="D177" s="75"/>
      <c r="E177" s="75"/>
      <c r="F177" s="75"/>
      <c r="G177" s="6"/>
      <c r="H177" s="70"/>
    </row>
    <row r="178" spans="1:8" ht="13.5" thickBot="1">
      <c r="A178" s="69"/>
      <c r="B178" s="618" t="s">
        <v>222</v>
      </c>
      <c r="C178" s="211" t="s">
        <v>19</v>
      </c>
      <c r="D178" s="620" t="s">
        <v>21</v>
      </c>
      <c r="E178" s="621"/>
      <c r="F178" s="212" t="s">
        <v>24</v>
      </c>
      <c r="G178" s="6"/>
      <c r="H178" s="70"/>
    </row>
    <row r="179" spans="1:8" ht="13.5" thickBot="1">
      <c r="A179" s="69"/>
      <c r="B179" s="619"/>
      <c r="C179" s="213" t="s">
        <v>20</v>
      </c>
      <c r="D179" s="214" t="s">
        <v>22</v>
      </c>
      <c r="E179" s="215" t="s">
        <v>23</v>
      </c>
      <c r="F179" s="227" t="s">
        <v>25</v>
      </c>
      <c r="G179" s="6"/>
      <c r="H179" s="70"/>
    </row>
    <row r="180" spans="1:8" ht="14.25" thickTop="1">
      <c r="A180" s="69"/>
      <c r="B180" s="250" t="s">
        <v>26</v>
      </c>
      <c r="C180" s="252">
        <v>0</v>
      </c>
      <c r="D180" s="252">
        <f>0</f>
        <v>0</v>
      </c>
      <c r="E180" s="257">
        <f>(D180/H170)*100</f>
        <v>0</v>
      </c>
      <c r="F180" s="259">
        <f>100-E180</f>
        <v>100</v>
      </c>
      <c r="G180" s="6"/>
      <c r="H180" s="70"/>
    </row>
    <row r="181" spans="1:8" ht="13.5">
      <c r="A181" s="69"/>
      <c r="B181" s="250" t="s">
        <v>27</v>
      </c>
      <c r="C181" s="252">
        <v>0</v>
      </c>
      <c r="D181" s="252">
        <f aca="true" t="shared" si="5" ref="D181:D186">D180+C181</f>
        <v>0</v>
      </c>
      <c r="E181" s="257">
        <f>(D181/H170)*100</f>
        <v>0</v>
      </c>
      <c r="F181" s="260">
        <f aca="true" t="shared" si="6" ref="F181:F186">100-E181</f>
        <v>100</v>
      </c>
      <c r="G181" s="6"/>
      <c r="H181" s="70"/>
    </row>
    <row r="182" spans="1:8" ht="13.5">
      <c r="A182" s="69"/>
      <c r="B182" s="250" t="s">
        <v>28</v>
      </c>
      <c r="C182" s="252">
        <v>0</v>
      </c>
      <c r="D182" s="252">
        <f t="shared" si="5"/>
        <v>0</v>
      </c>
      <c r="E182" s="257">
        <f>(D182/H170)*100</f>
        <v>0</v>
      </c>
      <c r="F182" s="260">
        <f t="shared" si="6"/>
        <v>100</v>
      </c>
      <c r="G182" s="6"/>
      <c r="H182" s="70"/>
    </row>
    <row r="183" spans="1:8" ht="13.5">
      <c r="A183" s="69"/>
      <c r="B183" s="250" t="s">
        <v>29</v>
      </c>
      <c r="C183" s="252">
        <v>19</v>
      </c>
      <c r="D183" s="252">
        <f t="shared" si="5"/>
        <v>19</v>
      </c>
      <c r="E183" s="257">
        <f>(D183/H170)*100</f>
        <v>0.9768331977905498</v>
      </c>
      <c r="F183" s="260">
        <f t="shared" si="6"/>
        <v>99.02316680220945</v>
      </c>
      <c r="G183" s="6"/>
      <c r="H183" s="70"/>
    </row>
    <row r="184" spans="1:8" ht="13.5">
      <c r="A184" s="69"/>
      <c r="B184" s="250" t="s">
        <v>30</v>
      </c>
      <c r="C184" s="252">
        <f>68-19</f>
        <v>49</v>
      </c>
      <c r="D184" s="252">
        <f t="shared" si="5"/>
        <v>68</v>
      </c>
      <c r="E184" s="257">
        <f>(D184/H170)*100</f>
        <v>3.49603460261881</v>
      </c>
      <c r="F184" s="260">
        <f t="shared" si="6"/>
        <v>96.5039653973812</v>
      </c>
      <c r="G184" s="6"/>
      <c r="H184" s="70"/>
    </row>
    <row r="185" spans="1:8" ht="13.5">
      <c r="A185" s="69"/>
      <c r="B185" s="250" t="s">
        <v>31</v>
      </c>
      <c r="C185" s="252">
        <f>88-68</f>
        <v>20</v>
      </c>
      <c r="D185" s="252">
        <f t="shared" si="5"/>
        <v>88</v>
      </c>
      <c r="E185" s="257">
        <f>(D185/H170)*100</f>
        <v>4.524280073977283</v>
      </c>
      <c r="F185" s="260">
        <f t="shared" si="6"/>
        <v>95.47571992602272</v>
      </c>
      <c r="G185" s="6"/>
      <c r="H185" s="70"/>
    </row>
    <row r="186" spans="1:8" ht="14.25" thickBot="1">
      <c r="A186" s="69"/>
      <c r="B186" s="253" t="s">
        <v>32</v>
      </c>
      <c r="C186" s="255">
        <f>100-88</f>
        <v>12</v>
      </c>
      <c r="D186" s="255">
        <f t="shared" si="5"/>
        <v>100</v>
      </c>
      <c r="E186" s="258">
        <f>(D186/H170)*100</f>
        <v>5.141227356792368</v>
      </c>
      <c r="F186" s="261">
        <f t="shared" si="6"/>
        <v>94.85877264320763</v>
      </c>
      <c r="G186" s="6"/>
      <c r="H186" s="70"/>
    </row>
    <row r="187" spans="1:8" ht="39" customHeight="1" thickBot="1">
      <c r="A187" s="24"/>
      <c r="B187" s="7"/>
      <c r="C187" s="7"/>
      <c r="D187" s="7"/>
      <c r="E187" s="7"/>
      <c r="F187" s="7"/>
      <c r="G187" s="7"/>
      <c r="H187" s="25"/>
    </row>
    <row r="188" spans="1:8" ht="13.5" thickBot="1">
      <c r="A188" s="609" t="s">
        <v>33</v>
      </c>
      <c r="B188" s="610"/>
      <c r="C188" s="610"/>
      <c r="D188" s="610"/>
      <c r="E188" s="610"/>
      <c r="F188" s="610"/>
      <c r="G188" s="610"/>
      <c r="H188" s="611"/>
    </row>
    <row r="189" spans="1:8" ht="13.5" thickBot="1">
      <c r="A189" s="69"/>
      <c r="B189" s="75"/>
      <c r="C189" s="75"/>
      <c r="D189" s="75"/>
      <c r="E189" s="75"/>
      <c r="F189" s="75"/>
      <c r="G189" s="6"/>
      <c r="H189" s="70"/>
    </row>
    <row r="190" spans="1:8" ht="14.25" thickBot="1">
      <c r="A190" s="630" t="s">
        <v>34</v>
      </c>
      <c r="B190" s="631"/>
      <c r="C190" s="265">
        <v>100</v>
      </c>
      <c r="D190" s="6"/>
      <c r="E190" s="628" t="s">
        <v>16</v>
      </c>
      <c r="F190" s="629"/>
      <c r="G190" s="214" t="s">
        <v>38</v>
      </c>
      <c r="H190" s="266">
        <f>C190*100/(100+D170)</f>
        <v>99.57155098543274</v>
      </c>
    </row>
    <row r="191" spans="1:8" ht="13.5" thickBot="1">
      <c r="A191" s="69"/>
      <c r="B191" s="6"/>
      <c r="C191" s="6"/>
      <c r="D191" s="6"/>
      <c r="E191" s="6"/>
      <c r="F191" s="6"/>
      <c r="G191" s="6"/>
      <c r="H191" s="70"/>
    </row>
    <row r="192" spans="1:8" ht="13.5" thickBot="1">
      <c r="A192" s="69"/>
      <c r="B192" s="618" t="s">
        <v>222</v>
      </c>
      <c r="C192" s="212" t="s">
        <v>19</v>
      </c>
      <c r="D192" s="620" t="s">
        <v>21</v>
      </c>
      <c r="E192" s="621"/>
      <c r="F192" s="212" t="s">
        <v>24</v>
      </c>
      <c r="G192" s="212" t="s">
        <v>24</v>
      </c>
      <c r="H192" s="70"/>
    </row>
    <row r="193" spans="1:8" ht="13.5" thickBot="1">
      <c r="A193" s="69"/>
      <c r="B193" s="619"/>
      <c r="C193" s="215" t="s">
        <v>20</v>
      </c>
      <c r="D193" s="214" t="s">
        <v>22</v>
      </c>
      <c r="E193" s="215" t="s">
        <v>23</v>
      </c>
      <c r="F193" s="215" t="s">
        <v>39</v>
      </c>
      <c r="G193" s="227" t="s">
        <v>25</v>
      </c>
      <c r="H193" s="70"/>
    </row>
    <row r="194" spans="1:8" ht="14.25" thickTop="1">
      <c r="A194" s="69"/>
      <c r="B194" s="250" t="s">
        <v>35</v>
      </c>
      <c r="C194" s="251"/>
      <c r="D194" s="251"/>
      <c r="E194" s="251"/>
      <c r="F194" s="187"/>
      <c r="G194" s="270"/>
      <c r="H194" s="70"/>
    </row>
    <row r="195" spans="1:8" ht="13.5">
      <c r="A195" s="69"/>
      <c r="B195" s="250" t="s">
        <v>36</v>
      </c>
      <c r="C195" s="252">
        <v>2</v>
      </c>
      <c r="D195" s="252">
        <f>D194+C195</f>
        <v>2</v>
      </c>
      <c r="E195" s="252">
        <f>(D195/C197)*100</f>
        <v>2.008605851979346</v>
      </c>
      <c r="F195" s="257"/>
      <c r="G195" s="260">
        <f>100-E195</f>
        <v>97.99139414802066</v>
      </c>
      <c r="H195" s="70"/>
    </row>
    <row r="196" spans="1:8" ht="14.25" thickBot="1">
      <c r="A196" s="69"/>
      <c r="B196" s="253" t="s">
        <v>37</v>
      </c>
      <c r="C196" s="255">
        <v>23</v>
      </c>
      <c r="D196" s="255">
        <f>D195+C196</f>
        <v>25</v>
      </c>
      <c r="E196" s="255">
        <f>(D196/C197)*100</f>
        <v>25.107573149741825</v>
      </c>
      <c r="F196" s="258"/>
      <c r="G196" s="261">
        <f>100-E196</f>
        <v>74.89242685025818</v>
      </c>
      <c r="H196" s="70"/>
    </row>
    <row r="197" spans="1:8" ht="14.25" thickBot="1">
      <c r="A197" s="69"/>
      <c r="B197" s="262"/>
      <c r="C197" s="275">
        <f>H190</f>
        <v>99.57155098543274</v>
      </c>
      <c r="D197" s="279"/>
      <c r="E197" s="279"/>
      <c r="F197" s="279"/>
      <c r="G197" s="279"/>
      <c r="H197" s="70"/>
    </row>
    <row r="198" spans="1:8" ht="12.75">
      <c r="A198" s="69"/>
      <c r="B198" s="6"/>
      <c r="C198" s="6"/>
      <c r="D198" s="6"/>
      <c r="E198" s="6"/>
      <c r="F198" s="6"/>
      <c r="G198" s="6"/>
      <c r="H198" s="70"/>
    </row>
    <row r="199" spans="1:8" ht="27.75" customHeight="1">
      <c r="A199" s="69"/>
      <c r="B199" s="6"/>
      <c r="C199" s="6"/>
      <c r="D199" s="6"/>
      <c r="E199" s="6"/>
      <c r="F199" s="6"/>
      <c r="G199" s="6"/>
      <c r="H199" s="70"/>
    </row>
    <row r="200" spans="1:8" s="6" customFormat="1" ht="12.75">
      <c r="A200" s="69"/>
      <c r="H200" s="70"/>
    </row>
    <row r="201" spans="1:8" s="6" customFormat="1" ht="12.75">
      <c r="A201" s="69"/>
      <c r="H201" s="70"/>
    </row>
    <row r="202" spans="1:8" s="6" customFormat="1" ht="12.75">
      <c r="A202" s="69"/>
      <c r="H202" s="70"/>
    </row>
    <row r="203" spans="1:8" s="6" customFormat="1" ht="13.5" thickBot="1">
      <c r="A203" s="24"/>
      <c r="D203" s="75"/>
      <c r="E203" s="75"/>
      <c r="F203" s="75"/>
      <c r="H203" s="70"/>
    </row>
    <row r="204" spans="1:8" ht="13.5" thickBot="1">
      <c r="A204" s="612" t="s">
        <v>0</v>
      </c>
      <c r="B204" s="613"/>
      <c r="C204" s="613"/>
      <c r="D204" s="613"/>
      <c r="E204" s="613"/>
      <c r="F204" s="613"/>
      <c r="G204" s="613"/>
      <c r="H204" s="614"/>
    </row>
    <row r="205" spans="1:8" ht="13.5" thickBot="1">
      <c r="A205" s="69"/>
      <c r="B205" s="6"/>
      <c r="C205" s="6"/>
      <c r="D205" s="6"/>
      <c r="E205" s="6"/>
      <c r="F205" s="6"/>
      <c r="G205" s="6"/>
      <c r="H205" s="70"/>
    </row>
    <row r="206" spans="1:8" ht="13.5" thickTop="1">
      <c r="A206" s="622" t="s">
        <v>2</v>
      </c>
      <c r="B206" s="623"/>
      <c r="C206" s="177" t="s">
        <v>3</v>
      </c>
      <c r="D206" s="6"/>
      <c r="E206" s="6"/>
      <c r="F206" s="6"/>
      <c r="G206" s="6"/>
      <c r="H206" s="70"/>
    </row>
    <row r="207" spans="1:8" ht="12.75">
      <c r="A207" s="624" t="s">
        <v>1</v>
      </c>
      <c r="B207" s="625"/>
      <c r="C207" s="178" t="s">
        <v>210</v>
      </c>
      <c r="D207" s="6"/>
      <c r="E207" s="6"/>
      <c r="F207" s="6"/>
      <c r="G207" s="6"/>
      <c r="H207" s="70"/>
    </row>
    <row r="208" spans="1:8" ht="13.5" thickBot="1">
      <c r="A208" s="626" t="s">
        <v>4</v>
      </c>
      <c r="B208" s="627"/>
      <c r="C208" s="179" t="s">
        <v>69</v>
      </c>
      <c r="D208" s="6"/>
      <c r="E208" s="6"/>
      <c r="F208" s="6"/>
      <c r="G208" s="6"/>
      <c r="H208" s="70"/>
    </row>
    <row r="209" spans="1:8" ht="14.25" thickBot="1" thickTop="1">
      <c r="A209" s="69"/>
      <c r="B209" s="6"/>
      <c r="C209" s="6"/>
      <c r="D209" s="6"/>
      <c r="E209" s="6"/>
      <c r="F209" s="6"/>
      <c r="G209" s="6"/>
      <c r="H209" s="70"/>
    </row>
    <row r="210" spans="1:8" ht="13.5" thickBot="1">
      <c r="A210" s="609" t="s">
        <v>221</v>
      </c>
      <c r="B210" s="610"/>
      <c r="C210" s="610"/>
      <c r="D210" s="611"/>
      <c r="E210" s="609" t="s">
        <v>12</v>
      </c>
      <c r="F210" s="610"/>
      <c r="G210" s="610"/>
      <c r="H210" s="611"/>
    </row>
    <row r="211" spans="1:8" ht="12.75">
      <c r="A211" s="2"/>
      <c r="B211" s="3"/>
      <c r="C211" s="3"/>
      <c r="D211" s="4"/>
      <c r="E211" s="2"/>
      <c r="F211" s="3"/>
      <c r="G211" s="3"/>
      <c r="H211" s="4"/>
    </row>
    <row r="212" spans="1:9" ht="13.5">
      <c r="A212" s="184" t="s">
        <v>217</v>
      </c>
      <c r="B212" s="185"/>
      <c r="C212" s="186"/>
      <c r="D212" s="242">
        <v>135.9</v>
      </c>
      <c r="E212" s="271" t="s">
        <v>13</v>
      </c>
      <c r="F212" s="272"/>
      <c r="G212" s="273"/>
      <c r="H212" s="242">
        <v>2078.9</v>
      </c>
      <c r="I212" s="1"/>
    </row>
    <row r="213" spans="1:8" ht="14.25" thickBot="1">
      <c r="A213" s="184" t="s">
        <v>7</v>
      </c>
      <c r="B213" s="185"/>
      <c r="C213" s="186"/>
      <c r="D213" s="249">
        <v>133.7</v>
      </c>
      <c r="E213" s="271" t="s">
        <v>14</v>
      </c>
      <c r="F213" s="272"/>
      <c r="G213" s="273"/>
      <c r="H213" s="242">
        <v>244</v>
      </c>
    </row>
    <row r="214" spans="1:8" ht="14.25" thickBot="1">
      <c r="A214" s="184" t="s">
        <v>218</v>
      </c>
      <c r="B214" s="185"/>
      <c r="C214" s="185"/>
      <c r="D214" s="247">
        <f>D212-D213</f>
        <v>2.200000000000017</v>
      </c>
      <c r="E214" s="272" t="s">
        <v>15</v>
      </c>
      <c r="F214" s="272"/>
      <c r="G214" s="273"/>
      <c r="H214" s="242">
        <f>H212-H213</f>
        <v>1834.9</v>
      </c>
    </row>
    <row r="215" spans="1:8" ht="14.25" thickBot="1">
      <c r="A215" s="184" t="s">
        <v>219</v>
      </c>
      <c r="B215" s="185"/>
      <c r="C215" s="186"/>
      <c r="D215" s="276">
        <v>73.6</v>
      </c>
      <c r="E215" s="271"/>
      <c r="F215" s="272"/>
      <c r="G215" s="273"/>
      <c r="H215" s="242"/>
    </row>
    <row r="216" spans="1:8" ht="14.25" thickBot="1">
      <c r="A216" s="184" t="s">
        <v>10</v>
      </c>
      <c r="B216" s="185"/>
      <c r="C216" s="185"/>
      <c r="D216" s="247">
        <f>D213-D215</f>
        <v>60.099999999999994</v>
      </c>
      <c r="E216" s="271"/>
      <c r="F216" s="272"/>
      <c r="G216" s="273"/>
      <c r="H216" s="249"/>
    </row>
    <row r="217" spans="1:8" ht="14.25" thickBot="1">
      <c r="A217" s="184" t="s">
        <v>220</v>
      </c>
      <c r="B217" s="185"/>
      <c r="C217" s="185"/>
      <c r="D217" s="246">
        <f>(D214/D216)*100</f>
        <v>3.660565723793706</v>
      </c>
      <c r="E217" s="271" t="s">
        <v>16</v>
      </c>
      <c r="F217" s="272"/>
      <c r="G217" s="272" t="s">
        <v>17</v>
      </c>
      <c r="H217" s="247">
        <f>(H214*100)/(100+D217)</f>
        <v>1770.1041733547347</v>
      </c>
    </row>
    <row r="218" spans="1:8" ht="13.5">
      <c r="A218" s="184"/>
      <c r="B218" s="185"/>
      <c r="C218" s="186"/>
      <c r="D218" s="248"/>
      <c r="E218" s="271"/>
      <c r="F218" s="272"/>
      <c r="G218" s="273"/>
      <c r="H218" s="248"/>
    </row>
    <row r="219" spans="1:8" ht="14.25" thickBot="1">
      <c r="A219" s="184"/>
      <c r="B219" s="185"/>
      <c r="C219" s="186"/>
      <c r="D219" s="249"/>
      <c r="E219" s="271"/>
      <c r="F219" s="272"/>
      <c r="G219" s="273"/>
      <c r="H219" s="249"/>
    </row>
    <row r="220" spans="1:8" ht="14.25" thickBot="1">
      <c r="A220" s="184"/>
      <c r="B220" s="185"/>
      <c r="C220" s="185"/>
      <c r="D220" s="247">
        <f>D217</f>
        <v>3.660565723793706</v>
      </c>
      <c r="E220" s="271" t="s">
        <v>18</v>
      </c>
      <c r="F220" s="272"/>
      <c r="G220" s="272"/>
      <c r="H220" s="247">
        <f>H213+H217</f>
        <v>2014.1041733547347</v>
      </c>
    </row>
    <row r="221" spans="1:8" ht="13.5">
      <c r="A221" s="184"/>
      <c r="B221" s="185"/>
      <c r="C221" s="186"/>
      <c r="D221" s="248"/>
      <c r="E221" s="271"/>
      <c r="F221" s="272"/>
      <c r="G221" s="273"/>
      <c r="H221" s="248"/>
    </row>
    <row r="222" spans="1:8" ht="14.25" thickBot="1">
      <c r="A222" s="237"/>
      <c r="B222" s="238"/>
      <c r="C222" s="239"/>
      <c r="D222" s="240"/>
      <c r="E222" s="237"/>
      <c r="F222" s="238"/>
      <c r="G222" s="239"/>
      <c r="H222" s="240"/>
    </row>
    <row r="223" spans="1:8" ht="12.75">
      <c r="A223" s="69"/>
      <c r="B223" s="6"/>
      <c r="C223" s="6"/>
      <c r="D223" s="6"/>
      <c r="E223" s="6"/>
      <c r="F223" s="6"/>
      <c r="G223" s="6"/>
      <c r="H223" s="70"/>
    </row>
    <row r="224" spans="1:8" ht="22.5" customHeight="1">
      <c r="A224" s="69"/>
      <c r="B224" s="6"/>
      <c r="C224" s="6"/>
      <c r="D224" s="6"/>
      <c r="E224" s="6"/>
      <c r="F224" s="6"/>
      <c r="G224" s="6"/>
      <c r="H224" s="70"/>
    </row>
    <row r="225" spans="1:8" ht="42.75" customHeight="1" thickBot="1">
      <c r="A225" s="24"/>
      <c r="B225" s="7"/>
      <c r="C225" s="7"/>
      <c r="D225" s="7"/>
      <c r="E225" s="7"/>
      <c r="F225" s="7"/>
      <c r="G225" s="7"/>
      <c r="H225" s="25"/>
    </row>
    <row r="226" spans="1:8" ht="13.5" thickBot="1">
      <c r="A226" s="609" t="s">
        <v>40</v>
      </c>
      <c r="B226" s="610"/>
      <c r="C226" s="610"/>
      <c r="D226" s="610"/>
      <c r="E226" s="610"/>
      <c r="F226" s="610"/>
      <c r="G226" s="610"/>
      <c r="H226" s="611"/>
    </row>
    <row r="227" spans="1:8" ht="13.5" thickBot="1">
      <c r="A227" s="69"/>
      <c r="B227" s="6"/>
      <c r="C227" s="6"/>
      <c r="D227" s="6"/>
      <c r="E227" s="6"/>
      <c r="F227" s="6"/>
      <c r="G227" s="6"/>
      <c r="H227" s="70"/>
    </row>
    <row r="228" spans="1:8" ht="13.5" thickBot="1">
      <c r="A228" s="69"/>
      <c r="B228" s="618" t="s">
        <v>222</v>
      </c>
      <c r="C228" s="211" t="s">
        <v>19</v>
      </c>
      <c r="D228" s="620" t="s">
        <v>21</v>
      </c>
      <c r="E228" s="621"/>
      <c r="F228" s="212" t="s">
        <v>24</v>
      </c>
      <c r="G228" s="6"/>
      <c r="H228" s="70"/>
    </row>
    <row r="229" spans="1:8" ht="13.5" thickBot="1">
      <c r="A229" s="69"/>
      <c r="B229" s="619"/>
      <c r="C229" s="213" t="s">
        <v>20</v>
      </c>
      <c r="D229" s="214" t="s">
        <v>22</v>
      </c>
      <c r="E229" s="215" t="s">
        <v>23</v>
      </c>
      <c r="F229" s="227" t="s">
        <v>25</v>
      </c>
      <c r="G229" s="6"/>
      <c r="H229" s="70"/>
    </row>
    <row r="230" spans="1:8" ht="14.25" thickTop="1">
      <c r="A230" s="69"/>
      <c r="B230" s="250" t="s">
        <v>26</v>
      </c>
      <c r="C230" s="252">
        <v>0</v>
      </c>
      <c r="D230" s="252">
        <f>0</f>
        <v>0</v>
      </c>
      <c r="E230" s="257">
        <f>(D230/H220)*100</f>
        <v>0</v>
      </c>
      <c r="F230" s="259">
        <f>100-E230</f>
        <v>100</v>
      </c>
      <c r="G230" s="6"/>
      <c r="H230" s="70"/>
    </row>
    <row r="231" spans="1:8" ht="13.5">
      <c r="A231" s="69"/>
      <c r="B231" s="250" t="s">
        <v>27</v>
      </c>
      <c r="C231" s="252">
        <v>0</v>
      </c>
      <c r="D231" s="252">
        <f aca="true" t="shared" si="7" ref="D231:D236">D230+C231</f>
        <v>0</v>
      </c>
      <c r="E231" s="257">
        <f>(D231/H220)*100</f>
        <v>0</v>
      </c>
      <c r="F231" s="260">
        <f aca="true" t="shared" si="8" ref="F231:F236">100-E231</f>
        <v>100</v>
      </c>
      <c r="G231" s="6"/>
      <c r="H231" s="70"/>
    </row>
    <row r="232" spans="1:8" ht="13.5">
      <c r="A232" s="69"/>
      <c r="B232" s="250" t="s">
        <v>28</v>
      </c>
      <c r="C232" s="252">
        <v>0</v>
      </c>
      <c r="D232" s="252">
        <f t="shared" si="7"/>
        <v>0</v>
      </c>
      <c r="E232" s="257">
        <f>(D232/H220)*100</f>
        <v>0</v>
      </c>
      <c r="F232" s="260">
        <f t="shared" si="8"/>
        <v>100</v>
      </c>
      <c r="G232" s="6"/>
      <c r="H232" s="70"/>
    </row>
    <row r="233" spans="1:8" ht="13.5">
      <c r="A233" s="69"/>
      <c r="B233" s="250" t="s">
        <v>29</v>
      </c>
      <c r="C233" s="252">
        <v>0</v>
      </c>
      <c r="D233" s="252">
        <f t="shared" si="7"/>
        <v>0</v>
      </c>
      <c r="E233" s="257">
        <f>(D233/H220)*100</f>
        <v>0</v>
      </c>
      <c r="F233" s="260">
        <f t="shared" si="8"/>
        <v>100</v>
      </c>
      <c r="G233" s="6"/>
      <c r="H233" s="70"/>
    </row>
    <row r="234" spans="1:8" ht="13.5">
      <c r="A234" s="69"/>
      <c r="B234" s="250" t="s">
        <v>30</v>
      </c>
      <c r="C234" s="252">
        <v>37</v>
      </c>
      <c r="D234" s="252">
        <f t="shared" si="7"/>
        <v>37</v>
      </c>
      <c r="E234" s="257">
        <f>(D234/H220)*100</f>
        <v>1.837044999433769</v>
      </c>
      <c r="F234" s="260">
        <f t="shared" si="8"/>
        <v>98.16295500056623</v>
      </c>
      <c r="G234" s="6"/>
      <c r="H234" s="70"/>
    </row>
    <row r="235" spans="1:8" ht="13.5">
      <c r="A235" s="69"/>
      <c r="B235" s="250" t="s">
        <v>31</v>
      </c>
      <c r="C235" s="252">
        <f>100-37</f>
        <v>63</v>
      </c>
      <c r="D235" s="252">
        <f t="shared" si="7"/>
        <v>100</v>
      </c>
      <c r="E235" s="257">
        <f>(D235/H220)*100</f>
        <v>4.964986484956132</v>
      </c>
      <c r="F235" s="260">
        <f t="shared" si="8"/>
        <v>95.03501351504387</v>
      </c>
      <c r="G235" s="6"/>
      <c r="H235" s="70"/>
    </row>
    <row r="236" spans="1:8" ht="14.25" thickBot="1">
      <c r="A236" s="69"/>
      <c r="B236" s="253" t="s">
        <v>32</v>
      </c>
      <c r="C236" s="255">
        <v>134</v>
      </c>
      <c r="D236" s="255">
        <f t="shared" si="7"/>
        <v>234</v>
      </c>
      <c r="E236" s="258">
        <f>(D236/H220)*100</f>
        <v>11.618068374797348</v>
      </c>
      <c r="F236" s="261">
        <f t="shared" si="8"/>
        <v>88.38193162520265</v>
      </c>
      <c r="G236" s="6"/>
      <c r="H236" s="70"/>
    </row>
    <row r="237" spans="1:8" ht="13.5" thickBot="1">
      <c r="A237" s="69"/>
      <c r="B237" s="6"/>
      <c r="C237" s="6"/>
      <c r="D237" s="6"/>
      <c r="E237" s="6"/>
      <c r="F237" s="6"/>
      <c r="G237" s="6"/>
      <c r="H237" s="70"/>
    </row>
    <row r="238" spans="1:8" ht="13.5" thickBot="1">
      <c r="A238" s="609" t="s">
        <v>33</v>
      </c>
      <c r="B238" s="610"/>
      <c r="C238" s="610"/>
      <c r="D238" s="610"/>
      <c r="E238" s="610"/>
      <c r="F238" s="610"/>
      <c r="G238" s="610"/>
      <c r="H238" s="611"/>
    </row>
    <row r="239" spans="1:8" ht="13.5" thickBot="1">
      <c r="A239" s="69"/>
      <c r="B239" s="6"/>
      <c r="C239" s="6"/>
      <c r="D239" s="6"/>
      <c r="E239" s="6"/>
      <c r="F239" s="6"/>
      <c r="G239" s="6"/>
      <c r="H239" s="70"/>
    </row>
    <row r="240" spans="1:8" ht="14.25" thickBot="1">
      <c r="A240" s="630" t="s">
        <v>34</v>
      </c>
      <c r="B240" s="631"/>
      <c r="C240" s="265">
        <v>100</v>
      </c>
      <c r="D240" s="6"/>
      <c r="E240" s="628" t="s">
        <v>16</v>
      </c>
      <c r="F240" s="629"/>
      <c r="G240" s="214" t="s">
        <v>38</v>
      </c>
      <c r="H240" s="266">
        <f>C240*100/(100+D220)</f>
        <v>96.46869983948632</v>
      </c>
    </row>
    <row r="241" spans="1:8" ht="13.5" thickBot="1">
      <c r="A241" s="69"/>
      <c r="B241" s="6"/>
      <c r="C241" s="6"/>
      <c r="D241" s="6"/>
      <c r="E241" s="6"/>
      <c r="F241" s="6"/>
      <c r="G241" s="6"/>
      <c r="H241" s="70"/>
    </row>
    <row r="242" spans="1:8" ht="13.5" thickBot="1">
      <c r="A242" s="69"/>
      <c r="B242" s="618" t="s">
        <v>222</v>
      </c>
      <c r="C242" s="212" t="s">
        <v>19</v>
      </c>
      <c r="D242" s="620" t="s">
        <v>21</v>
      </c>
      <c r="E242" s="621"/>
      <c r="F242" s="212" t="s">
        <v>24</v>
      </c>
      <c r="G242" s="212" t="s">
        <v>24</v>
      </c>
      <c r="H242" s="70"/>
    </row>
    <row r="243" spans="1:8" ht="13.5" thickBot="1">
      <c r="A243" s="69"/>
      <c r="B243" s="619"/>
      <c r="C243" s="215" t="s">
        <v>20</v>
      </c>
      <c r="D243" s="214" t="s">
        <v>22</v>
      </c>
      <c r="E243" s="215" t="s">
        <v>23</v>
      </c>
      <c r="F243" s="215" t="s">
        <v>39</v>
      </c>
      <c r="G243" s="227" t="s">
        <v>25</v>
      </c>
      <c r="H243" s="70"/>
    </row>
    <row r="244" spans="1:8" ht="14.25" thickTop="1">
      <c r="A244" s="69"/>
      <c r="B244" s="250" t="s">
        <v>35</v>
      </c>
      <c r="C244" s="251"/>
      <c r="D244" s="251"/>
      <c r="E244" s="251"/>
      <c r="F244" s="187"/>
      <c r="G244" s="270"/>
      <c r="H244" s="70"/>
    </row>
    <row r="245" spans="1:8" ht="13.5">
      <c r="A245" s="69"/>
      <c r="B245" s="250" t="s">
        <v>36</v>
      </c>
      <c r="C245" s="252">
        <v>15.1</v>
      </c>
      <c r="D245" s="252">
        <f>D244+C245</f>
        <v>15.1</v>
      </c>
      <c r="E245" s="252">
        <f>(D245/C247)*100</f>
        <v>15.652745424292853</v>
      </c>
      <c r="F245" s="257"/>
      <c r="G245" s="260">
        <f>100-E245</f>
        <v>84.34725457570715</v>
      </c>
      <c r="H245" s="70"/>
    </row>
    <row r="246" spans="1:8" ht="14.25" thickBot="1">
      <c r="A246" s="69"/>
      <c r="B246" s="253" t="s">
        <v>37</v>
      </c>
      <c r="C246" s="255">
        <v>49</v>
      </c>
      <c r="D246" s="255">
        <f>D245+C246</f>
        <v>64.1</v>
      </c>
      <c r="E246" s="255">
        <f>(D246/C247)*100</f>
        <v>66.44642262895177</v>
      </c>
      <c r="F246" s="258"/>
      <c r="G246" s="261">
        <f>100-E246</f>
        <v>33.553577371048235</v>
      </c>
      <c r="H246" s="70"/>
    </row>
    <row r="247" spans="1:8" ht="14.25" thickBot="1">
      <c r="A247" s="69"/>
      <c r="B247" s="262"/>
      <c r="C247" s="275">
        <f>H240</f>
        <v>96.46869983948632</v>
      </c>
      <c r="D247" s="279"/>
      <c r="E247" s="279"/>
      <c r="F247" s="279"/>
      <c r="G247" s="279"/>
      <c r="H247" s="70"/>
    </row>
    <row r="248" spans="1:8" ht="7.5" customHeight="1">
      <c r="A248" s="69"/>
      <c r="B248" s="6"/>
      <c r="C248" s="6"/>
      <c r="D248" s="6"/>
      <c r="E248" s="6"/>
      <c r="F248" s="6"/>
      <c r="G248" s="6"/>
      <c r="H248" s="70"/>
    </row>
    <row r="249" spans="1:8" ht="1.5" customHeight="1" hidden="1">
      <c r="A249" s="69"/>
      <c r="B249" s="6"/>
      <c r="C249" s="6"/>
      <c r="D249" s="6"/>
      <c r="E249" s="6"/>
      <c r="F249" s="6"/>
      <c r="G249" s="6"/>
      <c r="H249" s="70"/>
    </row>
    <row r="250" spans="1:8" ht="2.25" customHeight="1" hidden="1">
      <c r="A250" s="69"/>
      <c r="B250" s="6"/>
      <c r="C250" s="6"/>
      <c r="D250" s="6"/>
      <c r="E250" s="6"/>
      <c r="F250" s="6"/>
      <c r="G250" s="6"/>
      <c r="H250" s="70"/>
    </row>
    <row r="251" spans="1:8" ht="12.75" hidden="1">
      <c r="A251" s="69"/>
      <c r="B251" s="6"/>
      <c r="C251" s="6"/>
      <c r="D251" s="6"/>
      <c r="E251" s="6"/>
      <c r="F251" s="6"/>
      <c r="G251" s="6"/>
      <c r="H251" s="70"/>
    </row>
    <row r="252" spans="1:8" ht="12.75" hidden="1">
      <c r="A252" s="69"/>
      <c r="B252" s="6"/>
      <c r="C252" s="6"/>
      <c r="D252" s="6"/>
      <c r="E252" s="6"/>
      <c r="F252" s="6"/>
      <c r="G252" s="6"/>
      <c r="H252" s="70"/>
    </row>
    <row r="253" spans="1:8" ht="0.75" customHeight="1" thickBot="1">
      <c r="A253" s="69"/>
      <c r="B253" s="6"/>
      <c r="C253" s="6"/>
      <c r="D253" s="6"/>
      <c r="E253" s="6"/>
      <c r="F253" s="6"/>
      <c r="G253" s="6"/>
      <c r="H253" s="70"/>
    </row>
    <row r="254" spans="1:8" ht="13.5" thickBot="1">
      <c r="A254" s="612" t="s">
        <v>0</v>
      </c>
      <c r="B254" s="613"/>
      <c r="C254" s="613"/>
      <c r="D254" s="613"/>
      <c r="E254" s="613"/>
      <c r="F254" s="613"/>
      <c r="G254" s="613"/>
      <c r="H254" s="614"/>
    </row>
    <row r="255" spans="1:8" ht="13.5" thickBot="1">
      <c r="A255" s="69"/>
      <c r="B255" s="6"/>
      <c r="C255" s="6"/>
      <c r="D255" s="6"/>
      <c r="E255" s="6"/>
      <c r="F255" s="6"/>
      <c r="G255" s="6"/>
      <c r="H255" s="70"/>
    </row>
    <row r="256" spans="1:8" ht="13.5" thickTop="1">
      <c r="A256" s="622" t="s">
        <v>2</v>
      </c>
      <c r="B256" s="623"/>
      <c r="C256" s="177" t="s">
        <v>3</v>
      </c>
      <c r="D256" s="6"/>
      <c r="E256" s="6"/>
      <c r="F256" s="6"/>
      <c r="G256" s="6"/>
      <c r="H256" s="70"/>
    </row>
    <row r="257" spans="1:8" ht="12.75">
      <c r="A257" s="624" t="s">
        <v>1</v>
      </c>
      <c r="B257" s="625"/>
      <c r="C257" s="178" t="s">
        <v>211</v>
      </c>
      <c r="D257" s="6"/>
      <c r="E257" s="6"/>
      <c r="F257" s="6"/>
      <c r="G257" s="6"/>
      <c r="H257" s="70"/>
    </row>
    <row r="258" spans="1:8" ht="13.5" thickBot="1">
      <c r="A258" s="626" t="s">
        <v>4</v>
      </c>
      <c r="B258" s="627"/>
      <c r="C258" s="179" t="s">
        <v>70</v>
      </c>
      <c r="D258" s="6"/>
      <c r="E258" s="6"/>
      <c r="F258" s="6"/>
      <c r="G258" s="6"/>
      <c r="H258" s="70"/>
    </row>
    <row r="259" spans="1:8" ht="14.25" thickBot="1" thickTop="1">
      <c r="A259" s="69"/>
      <c r="B259" s="6"/>
      <c r="C259" s="6"/>
      <c r="D259" s="6"/>
      <c r="E259" s="6"/>
      <c r="F259" s="6"/>
      <c r="G259" s="6"/>
      <c r="H259" s="70"/>
    </row>
    <row r="260" spans="1:8" ht="13.5" thickBot="1">
      <c r="A260" s="609" t="s">
        <v>221</v>
      </c>
      <c r="B260" s="610"/>
      <c r="C260" s="610"/>
      <c r="D260" s="611"/>
      <c r="E260" s="609" t="s">
        <v>12</v>
      </c>
      <c r="F260" s="610"/>
      <c r="G260" s="610"/>
      <c r="H260" s="611"/>
    </row>
    <row r="261" spans="1:8" ht="12.75">
      <c r="A261" s="2"/>
      <c r="B261" s="3"/>
      <c r="C261" s="3"/>
      <c r="D261" s="4"/>
      <c r="E261" s="2"/>
      <c r="F261" s="3"/>
      <c r="G261" s="3"/>
      <c r="H261" s="4"/>
    </row>
    <row r="262" spans="1:8" ht="13.5">
      <c r="A262" s="184" t="s">
        <v>217</v>
      </c>
      <c r="B262" s="185"/>
      <c r="C262" s="186"/>
      <c r="D262" s="242">
        <v>135.8</v>
      </c>
      <c r="E262" s="271" t="s">
        <v>13</v>
      </c>
      <c r="F262" s="272"/>
      <c r="G262" s="273"/>
      <c r="H262" s="242">
        <v>2020</v>
      </c>
    </row>
    <row r="263" spans="1:8" ht="14.25" thickBot="1">
      <c r="A263" s="184" t="s">
        <v>7</v>
      </c>
      <c r="B263" s="185"/>
      <c r="C263" s="186"/>
      <c r="D263" s="249">
        <v>132.4</v>
      </c>
      <c r="E263" s="271" t="s">
        <v>14</v>
      </c>
      <c r="F263" s="272"/>
      <c r="G263" s="273"/>
      <c r="H263" s="242">
        <v>0</v>
      </c>
    </row>
    <row r="264" spans="1:8" ht="14.25" thickBot="1">
      <c r="A264" s="184" t="s">
        <v>218</v>
      </c>
      <c r="B264" s="185"/>
      <c r="C264" s="185"/>
      <c r="D264" s="247">
        <f>D262-D263</f>
        <v>3.4000000000000057</v>
      </c>
      <c r="E264" s="271" t="s">
        <v>15</v>
      </c>
      <c r="F264" s="272"/>
      <c r="G264" s="273"/>
      <c r="H264" s="242">
        <f>H262</f>
        <v>2020</v>
      </c>
    </row>
    <row r="265" spans="1:8" ht="14.25" thickBot="1">
      <c r="A265" s="184" t="s">
        <v>219</v>
      </c>
      <c r="B265" s="185"/>
      <c r="C265" s="186"/>
      <c r="D265" s="276">
        <v>70.3</v>
      </c>
      <c r="E265" s="271"/>
      <c r="F265" s="272"/>
      <c r="G265" s="273"/>
      <c r="H265" s="242"/>
    </row>
    <row r="266" spans="1:8" ht="14.25" thickBot="1">
      <c r="A266" s="184" t="s">
        <v>10</v>
      </c>
      <c r="B266" s="185"/>
      <c r="C266" s="185"/>
      <c r="D266" s="247">
        <f>D263-D265</f>
        <v>62.10000000000001</v>
      </c>
      <c r="E266" s="271"/>
      <c r="F266" s="272"/>
      <c r="G266" s="273"/>
      <c r="H266" s="249"/>
    </row>
    <row r="267" spans="1:8" ht="14.25" thickBot="1">
      <c r="A267" s="184" t="s">
        <v>220</v>
      </c>
      <c r="B267" s="185"/>
      <c r="C267" s="185"/>
      <c r="D267" s="247">
        <f>(D264/D266)*100</f>
        <v>5.475040257648962</v>
      </c>
      <c r="E267" s="271" t="s">
        <v>16</v>
      </c>
      <c r="F267" s="272"/>
      <c r="G267" s="272" t="s">
        <v>17</v>
      </c>
      <c r="H267" s="247">
        <f>(H264*100)/(100+D267)</f>
        <v>1915.1450381679388</v>
      </c>
    </row>
    <row r="268" spans="1:8" ht="13.5">
      <c r="A268" s="184"/>
      <c r="B268" s="185"/>
      <c r="C268" s="186"/>
      <c r="D268" s="248"/>
      <c r="E268" s="271"/>
      <c r="F268" s="272"/>
      <c r="G268" s="273"/>
      <c r="H268" s="248"/>
    </row>
    <row r="269" spans="1:8" ht="14.25" thickBot="1">
      <c r="A269" s="184"/>
      <c r="B269" s="185"/>
      <c r="C269" s="186"/>
      <c r="D269" s="249"/>
      <c r="E269" s="271"/>
      <c r="F269" s="272"/>
      <c r="G269" s="273"/>
      <c r="H269" s="249"/>
    </row>
    <row r="270" spans="1:8" ht="14.25" thickBot="1">
      <c r="A270" s="184"/>
      <c r="B270" s="185"/>
      <c r="C270" s="185"/>
      <c r="D270" s="247">
        <f>D267</f>
        <v>5.475040257648962</v>
      </c>
      <c r="E270" s="271" t="s">
        <v>18</v>
      </c>
      <c r="F270" s="272"/>
      <c r="G270" s="272"/>
      <c r="H270" s="247">
        <f>H263+H267</f>
        <v>1915.1450381679388</v>
      </c>
    </row>
    <row r="271" spans="1:8" ht="13.5">
      <c r="A271" s="184"/>
      <c r="B271" s="185"/>
      <c r="C271" s="186"/>
      <c r="D271" s="277"/>
      <c r="E271" s="271"/>
      <c r="F271" s="272"/>
      <c r="G271" s="273"/>
      <c r="H271" s="277"/>
    </row>
    <row r="272" spans="1:8" ht="14.25" thickBot="1">
      <c r="A272" s="237"/>
      <c r="B272" s="238"/>
      <c r="C272" s="239"/>
      <c r="D272" s="240"/>
      <c r="E272" s="237"/>
      <c r="F272" s="238"/>
      <c r="G272" s="239"/>
      <c r="H272" s="240"/>
    </row>
    <row r="273" spans="1:8" ht="12.75">
      <c r="A273" s="591"/>
      <c r="B273" s="8"/>
      <c r="C273" s="8"/>
      <c r="D273" s="8"/>
      <c r="E273" s="8"/>
      <c r="F273" s="8"/>
      <c r="G273" s="8"/>
      <c r="H273" s="592"/>
    </row>
    <row r="274" spans="1:8" ht="12.75">
      <c r="A274" s="69"/>
      <c r="B274" s="6"/>
      <c r="C274" s="6"/>
      <c r="D274" s="6"/>
      <c r="E274" s="6"/>
      <c r="F274" s="6"/>
      <c r="G274" s="6"/>
      <c r="H274" s="70"/>
    </row>
    <row r="275" spans="1:8" ht="13.5" thickBot="1">
      <c r="A275" s="69"/>
      <c r="B275" s="6"/>
      <c r="C275" s="6"/>
      <c r="D275" s="6"/>
      <c r="E275" s="6"/>
      <c r="F275" s="6"/>
      <c r="G275" s="6"/>
      <c r="H275" s="70"/>
    </row>
    <row r="276" spans="1:8" ht="13.5" thickBot="1">
      <c r="A276" s="609" t="s">
        <v>40</v>
      </c>
      <c r="B276" s="610"/>
      <c r="C276" s="610"/>
      <c r="D276" s="610"/>
      <c r="E276" s="610"/>
      <c r="F276" s="610"/>
      <c r="G276" s="610"/>
      <c r="H276" s="611"/>
    </row>
    <row r="277" spans="1:8" ht="13.5" thickBot="1">
      <c r="A277" s="69"/>
      <c r="B277" s="6"/>
      <c r="C277" s="6"/>
      <c r="D277" s="6"/>
      <c r="E277" s="6"/>
      <c r="F277" s="6"/>
      <c r="G277" s="6"/>
      <c r="H277" s="70"/>
    </row>
    <row r="278" spans="1:8" ht="13.5" thickBot="1">
      <c r="A278" s="69"/>
      <c r="B278" s="618" t="s">
        <v>222</v>
      </c>
      <c r="C278" s="211" t="s">
        <v>19</v>
      </c>
      <c r="D278" s="620" t="s">
        <v>21</v>
      </c>
      <c r="E278" s="621"/>
      <c r="F278" s="212" t="s">
        <v>24</v>
      </c>
      <c r="G278" s="6"/>
      <c r="H278" s="70"/>
    </row>
    <row r="279" spans="1:8" ht="13.5" thickBot="1">
      <c r="A279" s="69"/>
      <c r="B279" s="619"/>
      <c r="C279" s="213" t="s">
        <v>20</v>
      </c>
      <c r="D279" s="214" t="s">
        <v>22</v>
      </c>
      <c r="E279" s="215" t="s">
        <v>23</v>
      </c>
      <c r="F279" s="227" t="s">
        <v>25</v>
      </c>
      <c r="G279" s="6"/>
      <c r="H279" s="70"/>
    </row>
    <row r="280" spans="1:8" ht="14.25" thickTop="1">
      <c r="A280" s="69"/>
      <c r="B280" s="250" t="s">
        <v>26</v>
      </c>
      <c r="C280" s="252">
        <v>0</v>
      </c>
      <c r="D280" s="252">
        <f>0</f>
        <v>0</v>
      </c>
      <c r="E280" s="257">
        <f>(D280/H270)*100</f>
        <v>0</v>
      </c>
      <c r="F280" s="259">
        <f>100-E280</f>
        <v>100</v>
      </c>
      <c r="G280" s="6"/>
      <c r="H280" s="70"/>
    </row>
    <row r="281" spans="1:8" ht="13.5">
      <c r="A281" s="69"/>
      <c r="B281" s="250" t="s">
        <v>27</v>
      </c>
      <c r="C281" s="252">
        <v>0</v>
      </c>
      <c r="D281" s="252">
        <f aca="true" t="shared" si="9" ref="D281:D286">D280+C281</f>
        <v>0</v>
      </c>
      <c r="E281" s="257">
        <f>(D281/H270)*100</f>
        <v>0</v>
      </c>
      <c r="F281" s="260">
        <f aca="true" t="shared" si="10" ref="F281:F286">100-E281</f>
        <v>100</v>
      </c>
      <c r="G281" s="6"/>
      <c r="H281" s="70"/>
    </row>
    <row r="282" spans="1:8" ht="13.5">
      <c r="A282" s="69"/>
      <c r="B282" s="250" t="s">
        <v>28</v>
      </c>
      <c r="C282" s="252">
        <v>0</v>
      </c>
      <c r="D282" s="252">
        <f t="shared" si="9"/>
        <v>0</v>
      </c>
      <c r="E282" s="257">
        <f>(D282/H270)*100</f>
        <v>0</v>
      </c>
      <c r="F282" s="260">
        <f t="shared" si="10"/>
        <v>100</v>
      </c>
      <c r="G282" s="6"/>
      <c r="H282" s="70"/>
    </row>
    <row r="283" spans="1:8" ht="13.5">
      <c r="A283" s="69"/>
      <c r="B283" s="250" t="s">
        <v>29</v>
      </c>
      <c r="C283" s="252">
        <v>0</v>
      </c>
      <c r="D283" s="252">
        <f t="shared" si="9"/>
        <v>0</v>
      </c>
      <c r="E283" s="257">
        <f>(D283/H270)*100</f>
        <v>0</v>
      </c>
      <c r="F283" s="260">
        <f t="shared" si="10"/>
        <v>100</v>
      </c>
      <c r="G283" s="6"/>
      <c r="H283" s="70"/>
    </row>
    <row r="284" spans="1:8" ht="13.5">
      <c r="A284" s="69"/>
      <c r="B284" s="250" t="s">
        <v>30</v>
      </c>
      <c r="C284" s="252">
        <v>0</v>
      </c>
      <c r="D284" s="252">
        <f t="shared" si="9"/>
        <v>0</v>
      </c>
      <c r="E284" s="257">
        <f>(D284/H270)*100</f>
        <v>0</v>
      </c>
      <c r="F284" s="260">
        <f t="shared" si="10"/>
        <v>100</v>
      </c>
      <c r="G284" s="6"/>
      <c r="H284" s="70"/>
    </row>
    <row r="285" spans="1:8" ht="13.5">
      <c r="A285" s="69"/>
      <c r="B285" s="250" t="s">
        <v>31</v>
      </c>
      <c r="C285" s="252">
        <v>0</v>
      </c>
      <c r="D285" s="252">
        <f t="shared" si="9"/>
        <v>0</v>
      </c>
      <c r="E285" s="257">
        <f>(D285/H270)*100</f>
        <v>0</v>
      </c>
      <c r="F285" s="260">
        <f t="shared" si="10"/>
        <v>100</v>
      </c>
      <c r="G285" s="6"/>
      <c r="H285" s="70"/>
    </row>
    <row r="286" spans="1:8" ht="14.25" thickBot="1">
      <c r="A286" s="69"/>
      <c r="B286" s="253" t="s">
        <v>32</v>
      </c>
      <c r="C286" s="255">
        <v>0</v>
      </c>
      <c r="D286" s="255">
        <f t="shared" si="9"/>
        <v>0</v>
      </c>
      <c r="E286" s="258">
        <f>(D286/H270)*100</f>
        <v>0</v>
      </c>
      <c r="F286" s="261">
        <f t="shared" si="10"/>
        <v>100</v>
      </c>
      <c r="G286" s="6"/>
      <c r="H286" s="70"/>
    </row>
    <row r="287" spans="1:8" ht="12.75">
      <c r="A287" s="69"/>
      <c r="B287" s="6"/>
      <c r="C287" s="68"/>
      <c r="D287" s="68"/>
      <c r="E287" s="68"/>
      <c r="F287" s="68"/>
      <c r="G287" s="6"/>
      <c r="H287" s="70"/>
    </row>
    <row r="288" spans="1:8" ht="12.75">
      <c r="A288" s="69"/>
      <c r="B288" s="6"/>
      <c r="C288" s="68"/>
      <c r="D288" s="68"/>
      <c r="E288" s="68"/>
      <c r="F288" s="68"/>
      <c r="G288" s="6"/>
      <c r="H288" s="70"/>
    </row>
    <row r="289" spans="1:8" ht="13.5" thickBot="1">
      <c r="A289" s="69"/>
      <c r="B289" s="6"/>
      <c r="C289" s="6"/>
      <c r="D289" s="6"/>
      <c r="E289" s="6"/>
      <c r="F289" s="6"/>
      <c r="G289" s="6"/>
      <c r="H289" s="70"/>
    </row>
    <row r="290" spans="1:8" ht="13.5" thickBot="1">
      <c r="A290" s="609" t="s">
        <v>33</v>
      </c>
      <c r="B290" s="610"/>
      <c r="C290" s="610"/>
      <c r="D290" s="610"/>
      <c r="E290" s="610"/>
      <c r="F290" s="610"/>
      <c r="G290" s="610"/>
      <c r="H290" s="611"/>
    </row>
    <row r="291" spans="1:8" ht="13.5" thickBot="1">
      <c r="A291" s="69"/>
      <c r="B291" s="6"/>
      <c r="C291" s="6"/>
      <c r="D291" s="6"/>
      <c r="E291" s="6"/>
      <c r="F291" s="6"/>
      <c r="G291" s="6"/>
      <c r="H291" s="70"/>
    </row>
    <row r="292" spans="1:8" ht="14.25" thickBot="1">
      <c r="A292" s="630" t="s">
        <v>34</v>
      </c>
      <c r="B292" s="631"/>
      <c r="C292" s="265">
        <v>100</v>
      </c>
      <c r="D292" s="6"/>
      <c r="E292" s="628" t="s">
        <v>16</v>
      </c>
      <c r="F292" s="629"/>
      <c r="G292" s="214" t="s">
        <v>38</v>
      </c>
      <c r="H292" s="266">
        <f>C292*100/(100+D270)</f>
        <v>94.80916030534351</v>
      </c>
    </row>
    <row r="293" spans="1:8" ht="13.5" thickBot="1">
      <c r="A293" s="69"/>
      <c r="B293" s="6"/>
      <c r="C293" s="6"/>
      <c r="D293" s="6"/>
      <c r="E293" s="6"/>
      <c r="F293" s="6"/>
      <c r="G293" s="6"/>
      <c r="H293" s="70"/>
    </row>
    <row r="294" spans="1:8" ht="13.5" thickBot="1">
      <c r="A294" s="69"/>
      <c r="B294" s="618" t="s">
        <v>222</v>
      </c>
      <c r="C294" s="212" t="s">
        <v>19</v>
      </c>
      <c r="D294" s="620" t="s">
        <v>21</v>
      </c>
      <c r="E294" s="621"/>
      <c r="F294" s="212" t="s">
        <v>24</v>
      </c>
      <c r="G294" s="212" t="s">
        <v>24</v>
      </c>
      <c r="H294" s="70"/>
    </row>
    <row r="295" spans="1:8" ht="13.5" thickBot="1">
      <c r="A295" s="69"/>
      <c r="B295" s="632"/>
      <c r="C295" s="227" t="s">
        <v>20</v>
      </c>
      <c r="D295" s="211" t="s">
        <v>22</v>
      </c>
      <c r="E295" s="227" t="s">
        <v>23</v>
      </c>
      <c r="F295" s="227" t="s">
        <v>39</v>
      </c>
      <c r="G295" s="589" t="s">
        <v>25</v>
      </c>
      <c r="H295" s="70"/>
    </row>
    <row r="296" spans="1:8" ht="14.25" thickTop="1">
      <c r="A296" s="69"/>
      <c r="B296" s="251" t="s">
        <v>35</v>
      </c>
      <c r="C296" s="251">
        <v>0</v>
      </c>
      <c r="D296" s="251">
        <v>0</v>
      </c>
      <c r="E296" s="251"/>
      <c r="F296" s="187"/>
      <c r="G296" s="270"/>
      <c r="H296" s="70"/>
    </row>
    <row r="297" spans="1:8" ht="13.5">
      <c r="A297" s="69"/>
      <c r="B297" s="251" t="s">
        <v>36</v>
      </c>
      <c r="C297" s="252">
        <v>5</v>
      </c>
      <c r="D297" s="252">
        <f>D296+C297</f>
        <v>5</v>
      </c>
      <c r="E297" s="252">
        <f>(D297/C299)*100</f>
        <v>5.273752012882447</v>
      </c>
      <c r="F297" s="257"/>
      <c r="G297" s="260">
        <f>100-E297</f>
        <v>94.72624798711755</v>
      </c>
      <c r="H297" s="70"/>
    </row>
    <row r="298" spans="1:8" ht="14.25" thickBot="1">
      <c r="A298" s="69"/>
      <c r="B298" s="251" t="s">
        <v>37</v>
      </c>
      <c r="C298" s="252">
        <v>35.2</v>
      </c>
      <c r="D298" s="252">
        <f>D297+C298</f>
        <v>40.2</v>
      </c>
      <c r="E298" s="252">
        <f>(D298/C299)*100</f>
        <v>42.40096618357489</v>
      </c>
      <c r="F298" s="257"/>
      <c r="G298" s="261">
        <f>100-E298</f>
        <v>57.59903381642511</v>
      </c>
      <c r="H298" s="70"/>
    </row>
    <row r="299" spans="1:8" ht="14.25" thickTop="1">
      <c r="A299" s="69"/>
      <c r="B299" s="262"/>
      <c r="C299" s="590">
        <f>H292</f>
        <v>94.80916030534351</v>
      </c>
      <c r="D299" s="279"/>
      <c r="E299" s="279"/>
      <c r="F299" s="279"/>
      <c r="G299" s="279"/>
      <c r="H299" s="70"/>
    </row>
    <row r="300" spans="1:8" ht="12.75">
      <c r="A300" s="69"/>
      <c r="B300" s="6"/>
      <c r="C300" s="6"/>
      <c r="D300" s="6"/>
      <c r="E300" s="6"/>
      <c r="F300" s="6"/>
      <c r="G300" s="6"/>
      <c r="H300" s="70"/>
    </row>
    <row r="301" spans="1:8" ht="12.75">
      <c r="A301" s="69"/>
      <c r="B301" s="6"/>
      <c r="C301" s="6"/>
      <c r="D301" s="6"/>
      <c r="E301" s="6"/>
      <c r="F301" s="6"/>
      <c r="G301" s="6"/>
      <c r="H301" s="70"/>
    </row>
    <row r="302" spans="1:8" ht="12.75">
      <c r="A302" s="69"/>
      <c r="B302" s="6"/>
      <c r="C302" s="6"/>
      <c r="D302" s="6"/>
      <c r="E302" s="6"/>
      <c r="F302" s="6"/>
      <c r="G302" s="6"/>
      <c r="H302" s="70"/>
    </row>
    <row r="303" spans="1:8" ht="12.75">
      <c r="A303" s="69"/>
      <c r="B303" s="6"/>
      <c r="C303" s="6"/>
      <c r="D303" s="6"/>
      <c r="E303" s="6"/>
      <c r="F303" s="6"/>
      <c r="G303" s="6"/>
      <c r="H303" s="70"/>
    </row>
    <row r="304" spans="1:8" ht="12.75">
      <c r="A304" s="69"/>
      <c r="B304" s="6"/>
      <c r="C304" s="6"/>
      <c r="D304" s="6"/>
      <c r="E304" s="6"/>
      <c r="F304" s="6"/>
      <c r="G304" s="6"/>
      <c r="H304" s="70"/>
    </row>
    <row r="305" spans="1:8" ht="12.75">
      <c r="A305" s="69"/>
      <c r="B305" s="6"/>
      <c r="C305" s="6"/>
      <c r="D305" s="6"/>
      <c r="E305" s="6"/>
      <c r="F305" s="6"/>
      <c r="G305" s="6"/>
      <c r="H305" s="70"/>
    </row>
    <row r="306" spans="1:8" ht="12.75">
      <c r="A306" s="69"/>
      <c r="B306" s="6"/>
      <c r="C306" s="6"/>
      <c r="D306" s="6"/>
      <c r="E306" s="6"/>
      <c r="F306" s="6"/>
      <c r="G306" s="6"/>
      <c r="H306" s="70"/>
    </row>
    <row r="307" spans="1:8" ht="12.75">
      <c r="A307" s="600"/>
      <c r="B307" s="5"/>
      <c r="C307" s="5"/>
      <c r="D307" s="5"/>
      <c r="E307" s="5"/>
      <c r="F307" s="5"/>
      <c r="G307" s="5"/>
      <c r="H307" s="601"/>
    </row>
    <row r="308" spans="1:8" ht="12.75">
      <c r="A308" s="600"/>
      <c r="B308" s="5"/>
      <c r="C308" s="5"/>
      <c r="D308" s="5"/>
      <c r="E308" s="5"/>
      <c r="F308" s="5"/>
      <c r="G308" s="5"/>
      <c r="H308" s="601"/>
    </row>
    <row r="309" spans="1:8" ht="12.75">
      <c r="A309" s="600"/>
      <c r="B309" s="5"/>
      <c r="C309" s="5"/>
      <c r="D309" s="5"/>
      <c r="E309" s="5"/>
      <c r="F309" s="5"/>
      <c r="G309" s="5"/>
      <c r="H309" s="601"/>
    </row>
    <row r="310" spans="1:8" ht="12.75">
      <c r="A310" s="600"/>
      <c r="B310" s="5"/>
      <c r="C310" s="5"/>
      <c r="D310" s="5"/>
      <c r="E310" s="5"/>
      <c r="F310" s="5"/>
      <c r="G310" s="5"/>
      <c r="H310" s="601"/>
    </row>
    <row r="311" spans="1:8" ht="12.75">
      <c r="A311" s="602"/>
      <c r="B311" s="5"/>
      <c r="C311" s="5"/>
      <c r="D311" s="5"/>
      <c r="E311" s="5"/>
      <c r="F311" s="129"/>
      <c r="G311" s="5"/>
      <c r="H311" s="601"/>
    </row>
    <row r="312" spans="1:8" ht="12.75">
      <c r="A312" s="600"/>
      <c r="B312" s="5"/>
      <c r="C312" s="5"/>
      <c r="D312" s="5"/>
      <c r="E312" s="5"/>
      <c r="F312" s="5"/>
      <c r="G312" s="5"/>
      <c r="H312" s="601"/>
    </row>
    <row r="313" spans="1:8" ht="12.75">
      <c r="A313" s="600"/>
      <c r="B313" s="5"/>
      <c r="C313" s="5"/>
      <c r="D313" s="130"/>
      <c r="E313" s="130"/>
      <c r="F313" s="130"/>
      <c r="G313" s="130"/>
      <c r="H313" s="603"/>
    </row>
    <row r="314" spans="1:8" ht="12.75">
      <c r="A314" s="600"/>
      <c r="B314" s="5"/>
      <c r="C314" s="5"/>
      <c r="D314" s="130"/>
      <c r="E314" s="130"/>
      <c r="F314" s="130"/>
      <c r="G314" s="130"/>
      <c r="H314" s="603"/>
    </row>
    <row r="315" spans="1:8" ht="13.5" thickBot="1">
      <c r="A315" s="604"/>
      <c r="B315" s="605"/>
      <c r="C315" s="605"/>
      <c r="D315" s="606"/>
      <c r="E315" s="607"/>
      <c r="F315" s="607"/>
      <c r="G315" s="607"/>
      <c r="H315" s="608"/>
    </row>
    <row r="316" spans="1:8" ht="12.75">
      <c r="A316" s="5"/>
      <c r="B316" s="5"/>
      <c r="C316" s="5"/>
      <c r="D316" s="130"/>
      <c r="E316" s="130"/>
      <c r="F316" s="130"/>
      <c r="G316" s="130"/>
      <c r="H316" s="130"/>
    </row>
    <row r="317" spans="1:8" ht="12.75">
      <c r="A317" s="5"/>
      <c r="B317" s="5"/>
      <c r="C317" s="5"/>
      <c r="D317" s="131"/>
      <c r="E317" s="130"/>
      <c r="F317" s="130"/>
      <c r="G317" s="130"/>
      <c r="H317" s="130"/>
    </row>
    <row r="318" spans="1:8" ht="12.75">
      <c r="A318" s="5"/>
      <c r="B318" s="5"/>
      <c r="C318" s="5"/>
      <c r="D318" s="131"/>
      <c r="E318" s="130"/>
      <c r="F318" s="130"/>
      <c r="G318" s="130"/>
      <c r="H318" s="131"/>
    </row>
    <row r="319" spans="1:8" ht="12.75">
      <c r="A319" s="5"/>
      <c r="B319" s="5"/>
      <c r="C319" s="5"/>
      <c r="D319" s="130"/>
      <c r="E319" s="130"/>
      <c r="F319" s="130"/>
      <c r="G319" s="130"/>
      <c r="H319" s="130"/>
    </row>
    <row r="320" spans="1:8" ht="12.75">
      <c r="A320" s="5"/>
      <c r="B320" s="5"/>
      <c r="C320" s="5"/>
      <c r="D320" s="130"/>
      <c r="E320" s="130"/>
      <c r="F320" s="130"/>
      <c r="G320" s="130"/>
      <c r="H320" s="130"/>
    </row>
    <row r="321" spans="1:8" ht="12.75">
      <c r="A321" s="5"/>
      <c r="B321" s="5"/>
      <c r="C321" s="5"/>
      <c r="D321" s="131"/>
      <c r="E321" s="130"/>
      <c r="F321" s="130"/>
      <c r="G321" s="130"/>
      <c r="H321" s="131"/>
    </row>
    <row r="322" spans="1:8" ht="12.75">
      <c r="A322" s="5"/>
      <c r="B322" s="5"/>
      <c r="C322" s="5"/>
      <c r="D322" s="130"/>
      <c r="E322" s="130"/>
      <c r="F322" s="130"/>
      <c r="G322" s="130"/>
      <c r="H322" s="130"/>
    </row>
    <row r="323" spans="1:8" ht="12.75">
      <c r="A323" s="5"/>
      <c r="B323" s="5"/>
      <c r="C323" s="5"/>
      <c r="D323" s="5"/>
      <c r="E323" s="5"/>
      <c r="F323" s="5"/>
      <c r="G323" s="5"/>
      <c r="H323" s="5"/>
    </row>
    <row r="324" spans="1:8" ht="12.75">
      <c r="A324" s="5"/>
      <c r="B324" s="5"/>
      <c r="C324" s="5"/>
      <c r="D324" s="5"/>
      <c r="E324" s="5"/>
      <c r="F324" s="5"/>
      <c r="G324" s="5"/>
      <c r="H324" s="5"/>
    </row>
    <row r="325" spans="1:8" ht="12.75">
      <c r="A325" s="5"/>
      <c r="B325" s="5"/>
      <c r="C325" s="5"/>
      <c r="D325" s="5"/>
      <c r="E325" s="5"/>
      <c r="F325" s="5"/>
      <c r="G325" s="5"/>
      <c r="H325" s="5"/>
    </row>
    <row r="326" spans="1:8" ht="12.75">
      <c r="A326" s="5"/>
      <c r="B326" s="5"/>
      <c r="C326" s="5"/>
      <c r="D326" s="5"/>
      <c r="E326" s="5"/>
      <c r="F326" s="5"/>
      <c r="G326" s="5"/>
      <c r="H326" s="5"/>
    </row>
    <row r="327" spans="1:8" ht="12.75">
      <c r="A327" s="5"/>
      <c r="B327" s="5"/>
      <c r="C327" s="5"/>
      <c r="D327" s="5"/>
      <c r="E327" s="5"/>
      <c r="F327" s="5"/>
      <c r="G327" s="5"/>
      <c r="H327" s="5"/>
    </row>
    <row r="328" spans="1:8" ht="12.75">
      <c r="A328" s="5"/>
      <c r="B328" s="5"/>
      <c r="C328" s="5"/>
      <c r="D328" s="5"/>
      <c r="E328" s="5"/>
      <c r="F328" s="5"/>
      <c r="G328" s="5"/>
      <c r="H328" s="5"/>
    </row>
    <row r="329" spans="1:8" ht="12.75">
      <c r="A329" s="5"/>
      <c r="B329" s="5"/>
      <c r="C329" s="130"/>
      <c r="D329" s="130"/>
      <c r="E329" s="130"/>
      <c r="F329" s="130"/>
      <c r="G329" s="5"/>
      <c r="H329" s="5"/>
    </row>
    <row r="330" spans="1:8" ht="12.75">
      <c r="A330" s="5"/>
      <c r="B330" s="5"/>
      <c r="C330" s="130"/>
      <c r="D330" s="130"/>
      <c r="E330" s="130"/>
      <c r="F330" s="130"/>
      <c r="G330" s="5"/>
      <c r="H330" s="5"/>
    </row>
    <row r="331" spans="1:8" ht="12.75">
      <c r="A331" s="5"/>
      <c r="B331" s="5"/>
      <c r="C331" s="130"/>
      <c r="D331" s="130"/>
      <c r="E331" s="130"/>
      <c r="F331" s="130"/>
      <c r="G331" s="5"/>
      <c r="H331" s="5"/>
    </row>
    <row r="332" spans="1:8" ht="12.75">
      <c r="A332" s="5"/>
      <c r="B332" s="5"/>
      <c r="C332" s="130"/>
      <c r="D332" s="130"/>
      <c r="E332" s="130"/>
      <c r="F332" s="130"/>
      <c r="G332" s="5"/>
      <c r="H332" s="5"/>
    </row>
    <row r="333" spans="1:8" ht="12.75">
      <c r="A333" s="5"/>
      <c r="B333" s="5"/>
      <c r="C333" s="130"/>
      <c r="D333" s="130"/>
      <c r="E333" s="130"/>
      <c r="F333" s="130"/>
      <c r="G333" s="5"/>
      <c r="H333" s="5"/>
    </row>
    <row r="334" spans="1:8" ht="12.75">
      <c r="A334" s="5"/>
      <c r="B334" s="5"/>
      <c r="C334" s="130"/>
      <c r="D334" s="130"/>
      <c r="E334" s="130"/>
      <c r="F334" s="130"/>
      <c r="G334" s="5"/>
      <c r="H334" s="5"/>
    </row>
    <row r="335" spans="1:8" ht="12.75">
      <c r="A335" s="5"/>
      <c r="B335" s="5"/>
      <c r="C335" s="130"/>
      <c r="D335" s="130"/>
      <c r="E335" s="130"/>
      <c r="F335" s="130"/>
      <c r="G335" s="5"/>
      <c r="H335" s="5"/>
    </row>
    <row r="336" spans="1:8" ht="12.75">
      <c r="A336" s="5"/>
      <c r="B336" s="5"/>
      <c r="C336" s="5"/>
      <c r="D336" s="5"/>
      <c r="E336" s="5"/>
      <c r="F336" s="5"/>
      <c r="G336" s="5"/>
      <c r="H336" s="5"/>
    </row>
    <row r="337" spans="1:8" ht="12.75">
      <c r="A337" s="5"/>
      <c r="B337" s="5"/>
      <c r="C337" s="5"/>
      <c r="D337" s="5"/>
      <c r="E337" s="5"/>
      <c r="F337" s="5"/>
      <c r="G337" s="5"/>
      <c r="H337" s="5"/>
    </row>
    <row r="338" spans="1:8" ht="12.75">
      <c r="A338" s="5"/>
      <c r="B338" s="5"/>
      <c r="C338" s="5"/>
      <c r="D338" s="5"/>
      <c r="E338" s="5"/>
      <c r="F338" s="5"/>
      <c r="G338" s="5"/>
      <c r="H338" s="5"/>
    </row>
    <row r="339" spans="1:8" ht="12.75">
      <c r="A339" s="5"/>
      <c r="B339" s="5"/>
      <c r="C339" s="5"/>
      <c r="D339" s="5"/>
      <c r="E339" s="5"/>
      <c r="F339" s="5"/>
      <c r="G339" s="5"/>
      <c r="H339" s="5"/>
    </row>
    <row r="340" spans="1:8" ht="12.75">
      <c r="A340" s="5"/>
      <c r="B340" s="5"/>
      <c r="C340" s="5"/>
      <c r="D340" s="5"/>
      <c r="E340" s="5"/>
      <c r="F340" s="5"/>
      <c r="G340" s="5"/>
      <c r="H340" s="5"/>
    </row>
    <row r="341" spans="1:8" ht="12.75">
      <c r="A341" s="5"/>
      <c r="B341" s="5"/>
      <c r="C341" s="5"/>
      <c r="D341" s="5"/>
      <c r="E341" s="5"/>
      <c r="F341" s="5"/>
      <c r="G341" s="5"/>
      <c r="H341" s="5"/>
    </row>
    <row r="342" spans="1:8" ht="12.75">
      <c r="A342" s="5"/>
      <c r="B342" s="5"/>
      <c r="C342" s="5"/>
      <c r="D342" s="5"/>
      <c r="E342" s="5"/>
      <c r="F342" s="5"/>
      <c r="G342" s="5"/>
      <c r="H342" s="5"/>
    </row>
    <row r="343" spans="1:8" ht="12.75">
      <c r="A343" s="5"/>
      <c r="B343" s="5"/>
      <c r="C343" s="5"/>
      <c r="D343" s="5"/>
      <c r="E343" s="5"/>
      <c r="F343" s="5"/>
      <c r="G343" s="5"/>
      <c r="H343" s="5"/>
    </row>
    <row r="344" spans="1:8" ht="12.75">
      <c r="A344" s="5"/>
      <c r="B344" s="5"/>
      <c r="C344" s="130"/>
      <c r="D344" s="130"/>
      <c r="E344" s="130"/>
      <c r="F344" s="130"/>
      <c r="G344" s="130"/>
      <c r="H344" s="5"/>
    </row>
    <row r="345" spans="1:8" ht="12.75">
      <c r="A345" s="5"/>
      <c r="B345" s="5"/>
      <c r="C345" s="130"/>
      <c r="D345" s="130"/>
      <c r="E345" s="130"/>
      <c r="F345" s="130"/>
      <c r="G345" s="130"/>
      <c r="H345" s="5"/>
    </row>
    <row r="346" spans="1:8" ht="12.75">
      <c r="A346" s="5"/>
      <c r="B346" s="5"/>
      <c r="C346" s="130"/>
      <c r="D346" s="130"/>
      <c r="E346" s="130"/>
      <c r="F346" s="130"/>
      <c r="G346" s="130"/>
      <c r="H346" s="5"/>
    </row>
    <row r="347" spans="1:8" ht="12.75">
      <c r="A347" s="5"/>
      <c r="B347" s="5"/>
      <c r="C347" s="130"/>
      <c r="D347" s="130"/>
      <c r="E347" s="130"/>
      <c r="F347" s="130"/>
      <c r="G347" s="130"/>
      <c r="H347" s="5"/>
    </row>
    <row r="348" spans="1:8" ht="12.75">
      <c r="A348" s="5"/>
      <c r="B348" s="5"/>
      <c r="C348" s="5"/>
      <c r="D348" s="5"/>
      <c r="E348" s="5"/>
      <c r="F348" s="5"/>
      <c r="G348" s="5"/>
      <c r="H348" s="5"/>
    </row>
    <row r="349" spans="1:8" ht="12.75">
      <c r="A349" s="5"/>
      <c r="B349" s="5"/>
      <c r="C349" s="5"/>
      <c r="D349" s="5"/>
      <c r="E349" s="5"/>
      <c r="F349" s="5"/>
      <c r="G349" s="5"/>
      <c r="H349" s="5"/>
    </row>
    <row r="350" spans="1:8" ht="12.75">
      <c r="A350" s="5"/>
      <c r="B350" s="5"/>
      <c r="C350" s="5"/>
      <c r="D350" s="5"/>
      <c r="E350" s="5"/>
      <c r="F350" s="5"/>
      <c r="G350" s="5"/>
      <c r="H350" s="5"/>
    </row>
  </sheetData>
  <sheetProtection/>
  <mergeCells count="84">
    <mergeCell ref="B294:B295"/>
    <mergeCell ref="D294:E294"/>
    <mergeCell ref="A292:B292"/>
    <mergeCell ref="E292:F292"/>
    <mergeCell ref="A260:D260"/>
    <mergeCell ref="E260:H260"/>
    <mergeCell ref="A276:H276"/>
    <mergeCell ref="A290:H290"/>
    <mergeCell ref="B278:B279"/>
    <mergeCell ref="D278:E278"/>
    <mergeCell ref="A254:H254"/>
    <mergeCell ref="A256:B256"/>
    <mergeCell ref="A257:B257"/>
    <mergeCell ref="A258:B258"/>
    <mergeCell ref="A240:B240"/>
    <mergeCell ref="E240:F240"/>
    <mergeCell ref="B242:B243"/>
    <mergeCell ref="D242:E242"/>
    <mergeCell ref="A210:D210"/>
    <mergeCell ref="E210:H210"/>
    <mergeCell ref="A226:H226"/>
    <mergeCell ref="A238:H238"/>
    <mergeCell ref="B228:B229"/>
    <mergeCell ref="D228:E228"/>
    <mergeCell ref="A204:H204"/>
    <mergeCell ref="A206:B206"/>
    <mergeCell ref="A207:B207"/>
    <mergeCell ref="A208:B208"/>
    <mergeCell ref="A190:B190"/>
    <mergeCell ref="E190:F190"/>
    <mergeCell ref="B192:B193"/>
    <mergeCell ref="D192:E192"/>
    <mergeCell ref="A176:H176"/>
    <mergeCell ref="B178:B179"/>
    <mergeCell ref="D178:E178"/>
    <mergeCell ref="A188:H188"/>
    <mergeCell ref="A157:B157"/>
    <mergeCell ref="A158:B158"/>
    <mergeCell ref="A160:D160"/>
    <mergeCell ref="E160:H160"/>
    <mergeCell ref="B142:B143"/>
    <mergeCell ref="D142:E142"/>
    <mergeCell ref="A154:H154"/>
    <mergeCell ref="A156:B156"/>
    <mergeCell ref="A138:H138"/>
    <mergeCell ref="A140:B140"/>
    <mergeCell ref="E140:F140"/>
    <mergeCell ref="A110:D110"/>
    <mergeCell ref="E110:H110"/>
    <mergeCell ref="A126:H126"/>
    <mergeCell ref="B128:B129"/>
    <mergeCell ref="D128:E128"/>
    <mergeCell ref="A104:H104"/>
    <mergeCell ref="A106:B106"/>
    <mergeCell ref="A107:B107"/>
    <mergeCell ref="A108:B108"/>
    <mergeCell ref="A89:H89"/>
    <mergeCell ref="A91:B91"/>
    <mergeCell ref="E91:F91"/>
    <mergeCell ref="B93:B94"/>
    <mergeCell ref="D93:E93"/>
    <mergeCell ref="A59:D59"/>
    <mergeCell ref="E59:H59"/>
    <mergeCell ref="A75:H75"/>
    <mergeCell ref="B77:B78"/>
    <mergeCell ref="D77:E77"/>
    <mergeCell ref="A53:H53"/>
    <mergeCell ref="A55:B55"/>
    <mergeCell ref="A56:B56"/>
    <mergeCell ref="A57:B57"/>
    <mergeCell ref="A37:H37"/>
    <mergeCell ref="B41:B42"/>
    <mergeCell ref="D41:E41"/>
    <mergeCell ref="E39:F39"/>
    <mergeCell ref="A39:B39"/>
    <mergeCell ref="E8:H8"/>
    <mergeCell ref="A2:H2"/>
    <mergeCell ref="A24:H24"/>
    <mergeCell ref="B26:B27"/>
    <mergeCell ref="D26:E26"/>
    <mergeCell ref="A4:B4"/>
    <mergeCell ref="A5:B5"/>
    <mergeCell ref="A6:B6"/>
    <mergeCell ref="A8:D8"/>
  </mergeCells>
  <printOptions/>
  <pageMargins left="0.5511811023622047" right="0.2362204724409449" top="1.7716535433070868" bottom="1.3779527559055118" header="0" footer="0"/>
  <pageSetup horizontalDpi="300" verticalDpi="300" orientation="portrait" r:id="rId14"/>
  <legacyDrawing r:id="rId13"/>
  <oleObjects>
    <oleObject progId="Equation.3" shapeId="39818" r:id="rId1"/>
    <oleObject progId="Equation.3" shapeId="46397" r:id="rId2"/>
    <oleObject progId="Equation.3" shapeId="319408" r:id="rId3"/>
    <oleObject progId="Equation.3" shapeId="319409" r:id="rId4"/>
    <oleObject progId="Equation.3" shapeId="406002" r:id="rId5"/>
    <oleObject progId="Equation.3" shapeId="406003" r:id="rId6"/>
    <oleObject progId="Equation.3" shapeId="428000" r:id="rId7"/>
    <oleObject progId="Equation.3" shapeId="428001" r:id="rId8"/>
    <oleObject progId="Equation.3" shapeId="445973" r:id="rId9"/>
    <oleObject progId="Equation.3" shapeId="445974" r:id="rId10"/>
    <oleObject progId="Equation.3" shapeId="458895" r:id="rId11"/>
    <oleObject progId="Equation.3" shapeId="458896" r:id="rId1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P346"/>
  <sheetViews>
    <sheetView zoomScalePageLayoutView="0" workbookViewId="0" topLeftCell="A1">
      <selection activeCell="F219" sqref="F219"/>
    </sheetView>
  </sheetViews>
  <sheetFormatPr defaultColWidth="11.421875" defaultRowHeight="12.75"/>
  <cols>
    <col min="1" max="1" width="10.421875" style="0" customWidth="1"/>
  </cols>
  <sheetData>
    <row r="1" spans="1:16" ht="16.5" thickBot="1">
      <c r="A1" s="637" t="s">
        <v>41</v>
      </c>
      <c r="B1" s="638"/>
      <c r="C1" s="638"/>
      <c r="D1" s="638"/>
      <c r="E1" s="638"/>
      <c r="F1" s="638"/>
      <c r="G1" s="638"/>
      <c r="H1" s="639"/>
      <c r="I1" s="23"/>
      <c r="J1" s="10"/>
      <c r="K1" s="10"/>
      <c r="L1" s="10"/>
      <c r="M1" s="10"/>
      <c r="N1" s="10"/>
      <c r="O1" s="10"/>
      <c r="P1" s="10"/>
    </row>
    <row r="2" spans="1:16" ht="13.5" thickBot="1">
      <c r="A2" s="69"/>
      <c r="B2" s="6"/>
      <c r="C2" s="6"/>
      <c r="D2" s="6"/>
      <c r="E2" s="6"/>
      <c r="F2" s="6"/>
      <c r="G2" s="6"/>
      <c r="H2" s="76"/>
      <c r="I2" s="9"/>
      <c r="J2" s="10"/>
      <c r="K2" s="10"/>
      <c r="L2" s="10"/>
      <c r="M2" s="10"/>
      <c r="N2" s="10"/>
      <c r="O2" s="10"/>
      <c r="P2" s="10"/>
    </row>
    <row r="3" spans="1:16" ht="13.5" thickTop="1">
      <c r="A3" s="640" t="s">
        <v>2</v>
      </c>
      <c r="B3" s="623"/>
      <c r="C3" s="177" t="s">
        <v>3</v>
      </c>
      <c r="D3" s="6"/>
      <c r="E3" s="6"/>
      <c r="F3" s="6"/>
      <c r="G3" s="6"/>
      <c r="H3" s="76"/>
      <c r="I3" s="9"/>
      <c r="J3" s="10"/>
      <c r="K3" s="10"/>
      <c r="L3" s="10"/>
      <c r="M3" s="10"/>
      <c r="N3" s="10"/>
      <c r="O3" s="10"/>
      <c r="P3" s="10"/>
    </row>
    <row r="4" spans="1:16" ht="12.75">
      <c r="A4" s="641" t="s">
        <v>1</v>
      </c>
      <c r="B4" s="625"/>
      <c r="C4" s="178" t="s">
        <v>206</v>
      </c>
      <c r="D4" s="6"/>
      <c r="E4" s="6"/>
      <c r="F4" s="6"/>
      <c r="G4" s="6"/>
      <c r="H4" s="76"/>
      <c r="I4" s="9"/>
      <c r="J4" s="10"/>
      <c r="K4" s="10"/>
      <c r="L4" s="10"/>
      <c r="M4" s="10"/>
      <c r="N4" s="10"/>
      <c r="O4" s="10"/>
      <c r="P4" s="10"/>
    </row>
    <row r="5" spans="1:16" ht="13.5" thickBot="1">
      <c r="A5" s="642" t="s">
        <v>4</v>
      </c>
      <c r="B5" s="627"/>
      <c r="C5" s="179" t="s">
        <v>5</v>
      </c>
      <c r="D5" s="6"/>
      <c r="E5" s="6"/>
      <c r="F5" s="6"/>
      <c r="G5" s="6"/>
      <c r="H5" s="70"/>
      <c r="I5" s="6"/>
      <c r="J5" s="10"/>
      <c r="K5" s="10"/>
      <c r="L5" s="10"/>
      <c r="M5" s="10"/>
      <c r="N5" s="10"/>
      <c r="O5" s="10"/>
      <c r="P5" s="10"/>
    </row>
    <row r="6" spans="1:16" ht="13.5" thickTop="1">
      <c r="A6" s="69"/>
      <c r="B6" s="6"/>
      <c r="C6" s="6"/>
      <c r="D6" s="6"/>
      <c r="G6" s="6"/>
      <c r="H6" s="76"/>
      <c r="I6" s="9"/>
      <c r="J6" s="10"/>
      <c r="K6" s="10"/>
      <c r="L6" s="10"/>
      <c r="M6" s="10"/>
      <c r="N6" s="10"/>
      <c r="O6" s="10"/>
      <c r="P6" s="10"/>
    </row>
    <row r="7" spans="1:16" ht="15.75" customHeight="1" thickBot="1">
      <c r="A7" s="633" t="s">
        <v>43</v>
      </c>
      <c r="B7" s="634"/>
      <c r="C7" s="9"/>
      <c r="D7" s="9"/>
      <c r="E7" s="9"/>
      <c r="F7" s="9"/>
      <c r="G7" s="9"/>
      <c r="H7" s="76"/>
      <c r="I7" s="9"/>
      <c r="J7" s="10"/>
      <c r="K7" s="10"/>
      <c r="L7" s="10"/>
      <c r="M7" s="10"/>
      <c r="N7" s="10"/>
      <c r="O7" s="10"/>
      <c r="P7" s="10"/>
    </row>
    <row r="8" spans="1:16" ht="13.5">
      <c r="A8" s="282" t="s">
        <v>50</v>
      </c>
      <c r="B8" s="283"/>
      <c r="C8" s="283"/>
      <c r="D8" s="290"/>
      <c r="E8" s="284">
        <v>20</v>
      </c>
      <c r="F8" s="284">
        <v>21</v>
      </c>
      <c r="G8" s="20"/>
      <c r="H8" s="76"/>
      <c r="I8" s="9"/>
      <c r="J8" s="10"/>
      <c r="K8" s="10"/>
      <c r="L8" s="10"/>
      <c r="M8" s="10"/>
      <c r="N8" s="10"/>
      <c r="O8" s="10"/>
      <c r="P8" s="10"/>
    </row>
    <row r="9" spans="1:16" ht="13.5">
      <c r="A9" s="280" t="s">
        <v>51</v>
      </c>
      <c r="B9" s="281"/>
      <c r="C9" s="281"/>
      <c r="D9" s="291"/>
      <c r="E9" s="285">
        <v>22.75</v>
      </c>
      <c r="F9" s="285">
        <v>27</v>
      </c>
      <c r="G9" s="12"/>
      <c r="H9" s="76"/>
      <c r="I9" s="10"/>
      <c r="J9" s="10"/>
      <c r="K9" s="10"/>
      <c r="L9" s="10"/>
      <c r="M9" s="10"/>
      <c r="N9" s="10"/>
      <c r="O9" s="10"/>
      <c r="P9" s="10"/>
    </row>
    <row r="10" spans="1:16" ht="13.5">
      <c r="A10" s="280" t="s">
        <v>52</v>
      </c>
      <c r="B10" s="281"/>
      <c r="C10" s="281"/>
      <c r="D10" s="291"/>
      <c r="E10" s="285">
        <v>21</v>
      </c>
      <c r="F10" s="285">
        <v>24</v>
      </c>
      <c r="G10" s="12"/>
      <c r="H10" s="78"/>
      <c r="I10" s="21"/>
      <c r="J10" s="10"/>
      <c r="K10" s="10"/>
      <c r="L10" s="10"/>
      <c r="M10" s="10"/>
      <c r="N10" s="10"/>
      <c r="O10" s="10"/>
      <c r="P10" s="10"/>
    </row>
    <row r="11" spans="1:16" ht="14.25" thickBot="1">
      <c r="A11" s="280" t="s">
        <v>53</v>
      </c>
      <c r="B11" s="281"/>
      <c r="C11" s="281"/>
      <c r="D11" s="291"/>
      <c r="E11" s="292">
        <v>15.145</v>
      </c>
      <c r="F11" s="286">
        <v>16.61</v>
      </c>
      <c r="G11" s="22"/>
      <c r="H11" s="79"/>
      <c r="I11" s="13"/>
      <c r="J11" s="10"/>
      <c r="K11" s="10"/>
      <c r="L11" s="10"/>
      <c r="M11" s="10"/>
      <c r="N11" s="10"/>
      <c r="O11" s="10"/>
      <c r="P11" s="10"/>
    </row>
    <row r="12" spans="1:16" ht="14.25" thickBot="1">
      <c r="A12" s="280" t="s">
        <v>54</v>
      </c>
      <c r="B12" s="281"/>
      <c r="C12" s="281"/>
      <c r="D12" s="291"/>
      <c r="E12" s="193">
        <f>E10-E11</f>
        <v>5.855</v>
      </c>
      <c r="F12" s="294">
        <f>F10-F11</f>
        <v>7.390000000000001</v>
      </c>
      <c r="G12" s="12"/>
      <c r="H12" s="79"/>
      <c r="I12" s="13"/>
      <c r="J12" s="10"/>
      <c r="K12" s="10"/>
      <c r="L12" s="10"/>
      <c r="M12" s="10"/>
      <c r="N12" s="10"/>
      <c r="O12" s="10"/>
      <c r="P12" s="10"/>
    </row>
    <row r="13" spans="1:16" ht="14.25" thickBot="1">
      <c r="A13" s="280" t="s">
        <v>55</v>
      </c>
      <c r="B13" s="281"/>
      <c r="C13" s="281"/>
      <c r="D13" s="291"/>
      <c r="E13" s="193">
        <f>E9-E10</f>
        <v>1.75</v>
      </c>
      <c r="F13" s="295">
        <f>F9-F10</f>
        <v>3</v>
      </c>
      <c r="G13" s="12"/>
      <c r="H13" s="80"/>
      <c r="I13" s="13"/>
      <c r="J13" s="10"/>
      <c r="K13" s="10"/>
      <c r="L13" s="10"/>
      <c r="M13" s="10"/>
      <c r="N13" s="10"/>
      <c r="O13" s="10"/>
      <c r="P13" s="10"/>
    </row>
    <row r="14" spans="1:16" ht="14.25" thickBot="1">
      <c r="A14" s="280" t="s">
        <v>56</v>
      </c>
      <c r="B14" s="281"/>
      <c r="C14" s="281"/>
      <c r="D14" s="291"/>
      <c r="E14" s="195">
        <f>E13*100/E12</f>
        <v>29.88898377455166</v>
      </c>
      <c r="F14" s="293">
        <f>F13*100/F12</f>
        <v>40.59539918809201</v>
      </c>
      <c r="G14" s="22"/>
      <c r="H14" s="79"/>
      <c r="I14" s="13"/>
      <c r="J14" s="10"/>
      <c r="K14" s="10"/>
      <c r="L14" s="10"/>
      <c r="M14" s="10"/>
      <c r="N14" s="10"/>
      <c r="O14" s="10"/>
      <c r="P14" s="10"/>
    </row>
    <row r="15" spans="1:16" ht="14.25" thickBot="1">
      <c r="A15" s="287" t="s">
        <v>42</v>
      </c>
      <c r="B15" s="288"/>
      <c r="C15" s="288"/>
      <c r="D15" s="296"/>
      <c r="E15" s="289">
        <v>35</v>
      </c>
      <c r="F15" s="289">
        <v>22</v>
      </c>
      <c r="G15" s="12"/>
      <c r="H15" s="79"/>
      <c r="I15" s="13"/>
      <c r="J15" s="10"/>
      <c r="K15" s="10"/>
      <c r="L15" s="10"/>
      <c r="M15" s="10"/>
      <c r="N15" s="10"/>
      <c r="O15" s="10"/>
      <c r="P15" s="10"/>
    </row>
    <row r="16" spans="1:16" ht="16.5" thickBot="1">
      <c r="A16" s="81"/>
      <c r="B16" s="11"/>
      <c r="C16" s="9"/>
      <c r="D16" s="9"/>
      <c r="E16" s="12"/>
      <c r="F16" s="12"/>
      <c r="G16" s="12"/>
      <c r="H16" s="80"/>
      <c r="I16" s="13"/>
      <c r="J16" s="10"/>
      <c r="K16" s="10"/>
      <c r="L16" s="10"/>
      <c r="M16" s="10"/>
      <c r="N16" s="10"/>
      <c r="O16" s="10"/>
      <c r="P16" s="10"/>
    </row>
    <row r="17" spans="1:16" ht="13.5" thickBot="1">
      <c r="A17" s="307" t="s">
        <v>44</v>
      </c>
      <c r="B17" s="308" t="s">
        <v>45</v>
      </c>
      <c r="C17" s="308" t="s">
        <v>46</v>
      </c>
      <c r="D17" s="308" t="s">
        <v>46</v>
      </c>
      <c r="E17" s="12"/>
      <c r="F17" s="12"/>
      <c r="G17" s="12"/>
      <c r="H17" s="80"/>
      <c r="I17" s="13"/>
      <c r="J17" s="10"/>
      <c r="K17" s="10"/>
      <c r="L17" s="10"/>
      <c r="M17" s="10"/>
      <c r="N17" s="10"/>
      <c r="O17" s="10"/>
      <c r="P17" s="10"/>
    </row>
    <row r="18" spans="1:16" ht="13.5">
      <c r="A18" s="298">
        <f>E15</f>
        <v>35</v>
      </c>
      <c r="B18" s="299">
        <f>E14</f>
        <v>29.88898377455166</v>
      </c>
      <c r="C18" s="299">
        <f>B18*(A18/25)^0.121</f>
        <v>31.13096918697947</v>
      </c>
      <c r="D18" s="635">
        <f>AVERAGE(C18:C19)</f>
        <v>35.55163834125972</v>
      </c>
      <c r="E18" s="12"/>
      <c r="F18" s="12"/>
      <c r="G18" s="12"/>
      <c r="H18" s="80"/>
      <c r="I18" s="13"/>
      <c r="J18" s="10"/>
      <c r="K18" s="10"/>
      <c r="L18" s="10"/>
      <c r="M18" s="10"/>
      <c r="N18" s="10"/>
      <c r="O18" s="10"/>
      <c r="P18" s="10"/>
    </row>
    <row r="19" spans="1:16" ht="14.25" thickBot="1">
      <c r="A19" s="300">
        <f>F15</f>
        <v>22</v>
      </c>
      <c r="B19" s="301">
        <f>F14</f>
        <v>40.59539918809201</v>
      </c>
      <c r="C19" s="301">
        <f>B19*(A19/25)^0.121</f>
        <v>39.97230749553997</v>
      </c>
      <c r="D19" s="636"/>
      <c r="E19" s="12"/>
      <c r="F19" s="12"/>
      <c r="G19" s="12"/>
      <c r="H19" s="80"/>
      <c r="I19" s="13"/>
      <c r="J19" s="10"/>
      <c r="K19" s="10"/>
      <c r="L19" s="10"/>
      <c r="M19" s="10"/>
      <c r="N19" s="10"/>
      <c r="O19" s="10"/>
      <c r="P19" s="10"/>
    </row>
    <row r="20" spans="1:16" ht="14.25" thickBot="1">
      <c r="A20" s="216"/>
      <c r="B20" s="278"/>
      <c r="C20" s="309" t="s">
        <v>65</v>
      </c>
      <c r="D20" s="302"/>
      <c r="E20" s="12"/>
      <c r="H20" s="80"/>
      <c r="I20" s="13"/>
      <c r="J20" s="10"/>
      <c r="K20" s="10"/>
      <c r="L20" s="10"/>
      <c r="M20" s="10"/>
      <c r="N20" s="10"/>
      <c r="O20" s="10"/>
      <c r="P20" s="10"/>
    </row>
    <row r="21" spans="1:16" ht="14.25" thickBot="1">
      <c r="A21" s="216"/>
      <c r="B21" s="278"/>
      <c r="C21" s="307" t="s">
        <v>45</v>
      </c>
      <c r="D21" s="308" t="s">
        <v>47</v>
      </c>
      <c r="E21" s="12"/>
      <c r="F21" s="12"/>
      <c r="G21" s="12"/>
      <c r="H21" s="80"/>
      <c r="I21" s="13"/>
      <c r="J21" s="10"/>
      <c r="K21" s="10"/>
      <c r="L21" s="10"/>
      <c r="M21" s="10"/>
      <c r="N21" s="10"/>
      <c r="O21" s="10"/>
      <c r="P21" s="10"/>
    </row>
    <row r="22" spans="1:16" ht="13.5">
      <c r="A22" s="216"/>
      <c r="B22" s="278"/>
      <c r="C22" s="303">
        <f>B18</f>
        <v>29.88898377455166</v>
      </c>
      <c r="D22" s="304">
        <f>A18</f>
        <v>35</v>
      </c>
      <c r="E22" s="12"/>
      <c r="F22" s="12"/>
      <c r="G22" s="12"/>
      <c r="H22" s="76"/>
      <c r="I22" s="10"/>
      <c r="J22" s="10"/>
      <c r="K22" s="10"/>
      <c r="L22" s="10"/>
      <c r="M22" s="10"/>
      <c r="N22" s="10"/>
      <c r="O22" s="10"/>
      <c r="P22" s="10"/>
    </row>
    <row r="23" spans="1:16" ht="14.25" thickBot="1">
      <c r="A23" s="216"/>
      <c r="B23" s="278"/>
      <c r="C23" s="305">
        <f>B19</f>
        <v>40.59539918809201</v>
      </c>
      <c r="D23" s="306">
        <f>A19</f>
        <v>22</v>
      </c>
      <c r="E23" s="12"/>
      <c r="F23" s="12"/>
      <c r="G23" s="12"/>
      <c r="H23" s="84"/>
      <c r="I23" s="14"/>
      <c r="J23" s="10"/>
      <c r="O23" s="10"/>
      <c r="P23" s="10"/>
    </row>
    <row r="24" spans="1:16" ht="15.75">
      <c r="A24" s="81"/>
      <c r="B24" s="11"/>
      <c r="C24" s="9"/>
      <c r="D24" s="9"/>
      <c r="E24" s="12"/>
      <c r="F24" s="12"/>
      <c r="G24" s="12"/>
      <c r="H24" s="84"/>
      <c r="I24" s="14"/>
      <c r="J24" s="10"/>
      <c r="O24" s="10"/>
      <c r="P24" s="10"/>
    </row>
    <row r="25" spans="1:16" ht="15.75" thickBot="1">
      <c r="A25" s="310" t="s">
        <v>48</v>
      </c>
      <c r="B25" s="77"/>
      <c r="C25" s="9"/>
      <c r="D25" s="9"/>
      <c r="E25" s="9"/>
      <c r="F25" s="9"/>
      <c r="G25" s="9"/>
      <c r="H25" s="76"/>
      <c r="I25" s="9"/>
      <c r="J25" s="10"/>
      <c r="O25" s="10"/>
      <c r="P25" s="10"/>
    </row>
    <row r="26" spans="1:16" ht="13.5">
      <c r="A26" s="282" t="s">
        <v>50</v>
      </c>
      <c r="B26" s="311"/>
      <c r="C26" s="311"/>
      <c r="D26" s="312"/>
      <c r="E26" s="313">
        <v>22</v>
      </c>
      <c r="F26" s="314">
        <v>23</v>
      </c>
      <c r="G26" s="20"/>
      <c r="H26" s="84"/>
      <c r="I26" s="14"/>
      <c r="J26" s="10"/>
      <c r="O26" s="10"/>
      <c r="P26" s="10"/>
    </row>
    <row r="27" spans="1:16" ht="13.5">
      <c r="A27" s="280" t="s">
        <v>51</v>
      </c>
      <c r="B27" s="281"/>
      <c r="C27" s="281"/>
      <c r="D27" s="291"/>
      <c r="E27" s="315">
        <v>24.69</v>
      </c>
      <c r="F27" s="285">
        <v>27</v>
      </c>
      <c r="G27" s="12"/>
      <c r="H27" s="76"/>
      <c r="I27" s="9"/>
      <c r="J27" s="10"/>
      <c r="O27" s="10"/>
      <c r="P27" s="10"/>
    </row>
    <row r="28" spans="1:16" ht="13.5">
      <c r="A28" s="280" t="s">
        <v>52</v>
      </c>
      <c r="B28" s="281"/>
      <c r="C28" s="281"/>
      <c r="D28" s="291"/>
      <c r="E28" s="315">
        <v>22.15</v>
      </c>
      <c r="F28" s="316">
        <v>24</v>
      </c>
      <c r="G28" s="12"/>
      <c r="H28" s="85"/>
      <c r="I28" s="13"/>
      <c r="J28" s="10"/>
      <c r="O28" s="10"/>
      <c r="P28" s="10"/>
    </row>
    <row r="29" spans="1:16" ht="14.25" thickBot="1">
      <c r="A29" s="280" t="s">
        <v>53</v>
      </c>
      <c r="B29" s="281"/>
      <c r="C29" s="281"/>
      <c r="D29" s="291"/>
      <c r="E29" s="317">
        <v>15.07</v>
      </c>
      <c r="F29" s="318">
        <v>16.44</v>
      </c>
      <c r="G29" s="12"/>
      <c r="H29" s="85"/>
      <c r="I29" s="13"/>
      <c r="J29" s="10"/>
      <c r="O29" s="10"/>
      <c r="P29" s="10"/>
    </row>
    <row r="30" spans="1:16" ht="14.25" thickBot="1">
      <c r="A30" s="280" t="s">
        <v>54</v>
      </c>
      <c r="B30" s="281"/>
      <c r="C30" s="281"/>
      <c r="D30" s="291"/>
      <c r="E30" s="193">
        <f>E28-E29</f>
        <v>7.079999999999998</v>
      </c>
      <c r="F30" s="295">
        <f>F28-F29</f>
        <v>7.559999999999999</v>
      </c>
      <c r="G30" s="22"/>
      <c r="H30" s="85"/>
      <c r="I30" s="13"/>
      <c r="J30" s="10"/>
      <c r="O30" s="10"/>
      <c r="P30" s="15"/>
    </row>
    <row r="31" spans="1:16" ht="14.25" thickBot="1">
      <c r="A31" s="280" t="s">
        <v>55</v>
      </c>
      <c r="B31" s="281"/>
      <c r="C31" s="281"/>
      <c r="D31" s="291"/>
      <c r="E31" s="193">
        <f>E27-E28</f>
        <v>2.5400000000000027</v>
      </c>
      <c r="F31" s="295">
        <f>F27-F28</f>
        <v>3</v>
      </c>
      <c r="G31" s="12"/>
      <c r="H31" s="85"/>
      <c r="I31" s="13"/>
      <c r="J31" s="10"/>
      <c r="O31" s="10"/>
      <c r="P31" s="15"/>
    </row>
    <row r="32" spans="1:16" ht="14.25" thickBot="1">
      <c r="A32" s="287" t="s">
        <v>56</v>
      </c>
      <c r="B32" s="288"/>
      <c r="C32" s="288"/>
      <c r="D32" s="296"/>
      <c r="E32" s="195">
        <f>E31*100/E30</f>
        <v>35.875706214689316</v>
      </c>
      <c r="F32" s="293">
        <f>F31*100/F30</f>
        <v>39.68253968253969</v>
      </c>
      <c r="G32" s="22"/>
      <c r="H32" s="85"/>
      <c r="I32" s="13"/>
      <c r="J32" s="10"/>
      <c r="O32" s="10"/>
      <c r="P32" s="15"/>
    </row>
    <row r="33" spans="1:16" ht="12.75">
      <c r="A33" s="82"/>
      <c r="B33" s="9"/>
      <c r="C33" s="9"/>
      <c r="D33" s="9"/>
      <c r="E33" s="9"/>
      <c r="F33" s="9"/>
      <c r="G33" s="9"/>
      <c r="H33" s="85"/>
      <c r="I33" s="13"/>
      <c r="J33" s="10"/>
      <c r="O33" s="10"/>
      <c r="P33" s="15"/>
    </row>
    <row r="34" spans="1:16" ht="12.75">
      <c r="A34" s="82"/>
      <c r="B34" s="9"/>
      <c r="C34" s="321" t="s">
        <v>57</v>
      </c>
      <c r="D34" s="9"/>
      <c r="E34" s="9"/>
      <c r="F34" s="9"/>
      <c r="G34" s="9"/>
      <c r="H34" s="85"/>
      <c r="I34" s="13"/>
      <c r="J34" s="10"/>
      <c r="K34" s="10"/>
      <c r="L34" s="10"/>
      <c r="M34" s="10"/>
      <c r="N34" s="10"/>
      <c r="O34" s="10"/>
      <c r="P34" s="10"/>
    </row>
    <row r="35" spans="1:16" ht="12.75">
      <c r="A35" s="82"/>
      <c r="B35" s="9"/>
      <c r="C35" s="86"/>
      <c r="D35" s="9"/>
      <c r="E35" s="9"/>
      <c r="F35" s="9"/>
      <c r="G35" s="9"/>
      <c r="H35" s="76"/>
      <c r="I35" s="10"/>
      <c r="J35" s="10"/>
      <c r="K35" s="10"/>
      <c r="L35" s="10"/>
      <c r="M35" s="10"/>
      <c r="N35" s="10"/>
      <c r="O35" s="10"/>
      <c r="P35" s="10"/>
    </row>
    <row r="36" spans="1:16" ht="13.5">
      <c r="A36" s="82"/>
      <c r="B36" s="9"/>
      <c r="C36" s="322" t="s">
        <v>59</v>
      </c>
      <c r="D36" s="322"/>
      <c r="E36" s="217"/>
      <c r="F36" s="324">
        <f>D18</f>
        <v>35.55163834125972</v>
      </c>
      <c r="G36" s="9"/>
      <c r="H36" s="76"/>
      <c r="I36" s="10"/>
      <c r="J36" s="10"/>
      <c r="K36" s="10"/>
      <c r="L36" s="10"/>
      <c r="M36" s="10"/>
      <c r="N36" s="10"/>
      <c r="O36" s="10"/>
      <c r="P36" s="10"/>
    </row>
    <row r="37" spans="1:16" ht="13.5">
      <c r="A37" s="82"/>
      <c r="B37" s="9"/>
      <c r="C37" s="322" t="s">
        <v>58</v>
      </c>
      <c r="D37" s="322"/>
      <c r="E37" s="217"/>
      <c r="F37" s="324">
        <f>AVERAGE(E32:G32)</f>
        <v>37.7791229486145</v>
      </c>
      <c r="G37" s="9"/>
      <c r="H37" s="76"/>
      <c r="I37" s="10"/>
      <c r="J37" s="10"/>
      <c r="K37" s="10"/>
      <c r="L37" s="10"/>
      <c r="M37" s="10"/>
      <c r="N37" s="10"/>
      <c r="O37" s="10"/>
      <c r="P37" s="10"/>
    </row>
    <row r="38" spans="1:16" ht="13.5">
      <c r="A38" s="82"/>
      <c r="B38" s="9"/>
      <c r="C38" s="322" t="s">
        <v>49</v>
      </c>
      <c r="D38" s="322"/>
      <c r="E38" s="217"/>
      <c r="F38" s="324">
        <f>F36-F37</f>
        <v>-2.227484607354782</v>
      </c>
      <c r="G38" s="9"/>
      <c r="H38" s="76"/>
      <c r="I38" s="10"/>
      <c r="J38" s="10"/>
      <c r="K38" s="10"/>
      <c r="L38" s="10"/>
      <c r="M38" s="16"/>
      <c r="N38" s="16"/>
      <c r="O38" s="10"/>
      <c r="P38" s="10"/>
    </row>
    <row r="39" spans="1:16" ht="12.75">
      <c r="A39" s="82"/>
      <c r="B39" s="9"/>
      <c r="C39" s="9"/>
      <c r="D39" s="9"/>
      <c r="E39" s="9"/>
      <c r="F39" s="9"/>
      <c r="G39" s="9"/>
      <c r="H39" s="76"/>
      <c r="I39" s="10"/>
      <c r="J39" s="10"/>
      <c r="K39" s="10"/>
      <c r="L39" s="10"/>
      <c r="M39" s="17"/>
      <c r="N39" s="17"/>
      <c r="O39" s="10"/>
      <c r="P39" s="10"/>
    </row>
    <row r="40" spans="1:16" ht="13.5">
      <c r="A40" s="325" t="s">
        <v>60</v>
      </c>
      <c r="B40" s="217"/>
      <c r="C40" s="217"/>
      <c r="D40" s="217"/>
      <c r="E40" s="217"/>
      <c r="F40" s="217"/>
      <c r="G40" s="6"/>
      <c r="H40" s="76"/>
      <c r="I40" s="10"/>
      <c r="J40" s="10"/>
      <c r="K40" s="10"/>
      <c r="L40" s="18"/>
      <c r="M40" s="17"/>
      <c r="N40" s="17"/>
      <c r="O40" s="10"/>
      <c r="P40" s="10"/>
    </row>
    <row r="41" spans="1:16" ht="14.25" thickBot="1">
      <c r="A41" s="216"/>
      <c r="B41" s="217"/>
      <c r="C41" s="217"/>
      <c r="D41" s="217"/>
      <c r="E41" s="217"/>
      <c r="F41" s="217"/>
      <c r="G41" s="6"/>
      <c r="H41" s="76"/>
      <c r="I41" s="10"/>
      <c r="J41" s="10"/>
      <c r="K41" s="19"/>
      <c r="L41" s="10"/>
      <c r="M41" s="10"/>
      <c r="N41" s="10"/>
      <c r="O41" s="10"/>
      <c r="P41" s="10"/>
    </row>
    <row r="42" spans="1:16" ht="14.25" thickBot="1">
      <c r="A42" s="216"/>
      <c r="B42" s="217"/>
      <c r="C42" s="217"/>
      <c r="D42" s="217"/>
      <c r="E42" s="332" t="s">
        <v>61</v>
      </c>
      <c r="F42" s="335">
        <f>C46-35</f>
        <v>28.8553480475382</v>
      </c>
      <c r="G42" s="6"/>
      <c r="H42" s="76"/>
      <c r="I42" s="10"/>
      <c r="J42" s="10"/>
      <c r="K42" s="19"/>
      <c r="L42" s="10"/>
      <c r="M42" s="10"/>
      <c r="N42" s="10"/>
      <c r="O42" s="10"/>
      <c r="P42" s="10"/>
    </row>
    <row r="43" spans="1:16" ht="14.25" thickBot="1">
      <c r="A43" s="328"/>
      <c r="B43" s="308" t="s">
        <v>195</v>
      </c>
      <c r="C43" s="308" t="s">
        <v>196</v>
      </c>
      <c r="D43" s="217"/>
      <c r="E43" s="333" t="s">
        <v>62</v>
      </c>
      <c r="F43" s="336">
        <f>C46-15</f>
        <v>48.8553480475382</v>
      </c>
      <c r="G43" s="6"/>
      <c r="H43" s="76"/>
      <c r="I43" s="10"/>
      <c r="J43" s="10"/>
      <c r="K43" s="10"/>
      <c r="L43" s="10"/>
      <c r="M43" s="10"/>
      <c r="N43" s="10"/>
      <c r="O43" s="10"/>
      <c r="P43" s="10"/>
    </row>
    <row r="44" spans="1:16" ht="14.25" thickBot="1">
      <c r="A44" s="339" t="s">
        <v>169</v>
      </c>
      <c r="B44" s="327">
        <f>(0.2*F42)+(0.005*F42*F44)+(0.01*F43*F45)</f>
        <v>5.771069609507641</v>
      </c>
      <c r="C44" s="331">
        <f>B44</f>
        <v>5.771069609507641</v>
      </c>
      <c r="D44" s="217"/>
      <c r="E44" s="333" t="s">
        <v>63</v>
      </c>
      <c r="F44" s="337">
        <v>0</v>
      </c>
      <c r="G44" s="6"/>
      <c r="H44" s="87"/>
      <c r="I44" s="10"/>
      <c r="J44" s="10"/>
      <c r="K44" s="10"/>
      <c r="L44" s="10"/>
      <c r="M44" s="10"/>
      <c r="N44" s="10"/>
      <c r="O44" s="10"/>
      <c r="P44" s="10"/>
    </row>
    <row r="45" spans="1:16" ht="14.25" thickBot="1">
      <c r="A45" s="216"/>
      <c r="B45" s="217"/>
      <c r="C45" s="217"/>
      <c r="D45" s="217"/>
      <c r="E45" s="334" t="s">
        <v>64</v>
      </c>
      <c r="F45" s="338">
        <v>0</v>
      </c>
      <c r="G45" s="6"/>
      <c r="H45" s="88"/>
      <c r="J45" s="10"/>
      <c r="K45" s="10"/>
      <c r="L45" s="10"/>
      <c r="M45" s="10"/>
      <c r="N45" s="10"/>
      <c r="O45" s="10"/>
      <c r="P45" s="10"/>
    </row>
    <row r="46" spans="1:16" ht="14.25" thickBot="1">
      <c r="A46" s="216"/>
      <c r="B46" s="307" t="s">
        <v>197</v>
      </c>
      <c r="C46" s="294">
        <f>granulometria!G45</f>
        <v>63.8553480475382</v>
      </c>
      <c r="D46" s="217"/>
      <c r="E46" s="217"/>
      <c r="F46" s="217"/>
      <c r="G46" s="6"/>
      <c r="H46" s="70"/>
      <c r="J46" s="10"/>
      <c r="K46" s="10"/>
      <c r="L46" s="10"/>
      <c r="M46" s="10"/>
      <c r="N46" s="10"/>
      <c r="O46" s="10"/>
      <c r="P46" s="10"/>
    </row>
    <row r="47" spans="1:16" ht="14.25" thickBot="1">
      <c r="A47" s="323"/>
      <c r="B47" s="307" t="s">
        <v>80</v>
      </c>
      <c r="C47" s="294">
        <f>F36</f>
        <v>35.55163834125972</v>
      </c>
      <c r="D47" s="217"/>
      <c r="E47" s="217"/>
      <c r="F47" s="217"/>
      <c r="G47" s="6"/>
      <c r="H47" s="70"/>
      <c r="J47" s="10"/>
      <c r="K47" s="10"/>
      <c r="L47" s="10"/>
      <c r="M47" s="10"/>
      <c r="N47" s="10"/>
      <c r="O47" s="10"/>
      <c r="P47" s="10"/>
    </row>
    <row r="48" spans="1:16" ht="14.25" thickBot="1">
      <c r="A48" s="216"/>
      <c r="B48" s="330" t="s">
        <v>198</v>
      </c>
      <c r="C48" s="293">
        <f>F38</f>
        <v>-2.227484607354782</v>
      </c>
      <c r="D48" s="217"/>
      <c r="E48" s="217"/>
      <c r="F48" s="217"/>
      <c r="G48" s="6"/>
      <c r="H48" s="70"/>
      <c r="J48" s="10"/>
      <c r="K48" s="10"/>
      <c r="L48" s="10"/>
      <c r="M48" s="10"/>
      <c r="N48" s="10"/>
      <c r="O48" s="10"/>
      <c r="P48" s="10"/>
    </row>
    <row r="49" spans="1:16" ht="13.5" thickBot="1">
      <c r="A49" s="24"/>
      <c r="B49" s="7"/>
      <c r="C49" s="174"/>
      <c r="D49" s="7"/>
      <c r="E49" s="7"/>
      <c r="F49" s="7"/>
      <c r="G49" s="7"/>
      <c r="H49" s="25"/>
      <c r="J49" s="10"/>
      <c r="K49" s="10"/>
      <c r="L49" s="10"/>
      <c r="M49" s="10"/>
      <c r="N49" s="10"/>
      <c r="O49" s="10"/>
      <c r="P49" s="10"/>
    </row>
    <row r="50" spans="1:16" s="171" customFormat="1" ht="13.5" thickBot="1">
      <c r="A50" s="637" t="s">
        <v>41</v>
      </c>
      <c r="B50" s="638"/>
      <c r="C50" s="638"/>
      <c r="D50" s="638"/>
      <c r="E50" s="638"/>
      <c r="F50" s="638"/>
      <c r="G50" s="638"/>
      <c r="H50" s="639"/>
      <c r="J50" s="172"/>
      <c r="K50" s="172"/>
      <c r="L50" s="172"/>
      <c r="M50" s="172"/>
      <c r="N50" s="172"/>
      <c r="O50" s="172"/>
      <c r="P50" s="172"/>
    </row>
    <row r="51" spans="1:16" ht="13.5" thickBot="1">
      <c r="A51" s="69"/>
      <c r="B51" s="6"/>
      <c r="C51" s="6"/>
      <c r="D51" s="6"/>
      <c r="E51" s="6"/>
      <c r="F51" s="6"/>
      <c r="G51" s="6"/>
      <c r="H51" s="70"/>
      <c r="J51" s="10"/>
      <c r="K51" s="10"/>
      <c r="L51" s="10"/>
      <c r="M51" s="10"/>
      <c r="N51" s="10"/>
      <c r="O51" s="10"/>
      <c r="P51" s="10"/>
    </row>
    <row r="52" spans="1:16" ht="13.5" thickTop="1">
      <c r="A52" s="640" t="s">
        <v>2</v>
      </c>
      <c r="B52" s="623"/>
      <c r="C52" s="177" t="s">
        <v>3</v>
      </c>
      <c r="D52" s="6"/>
      <c r="E52" s="6"/>
      <c r="F52" s="6"/>
      <c r="G52" s="6"/>
      <c r="H52" s="70"/>
      <c r="J52" s="10"/>
      <c r="K52" s="10"/>
      <c r="L52" s="10"/>
      <c r="M52" s="10"/>
      <c r="N52" s="10"/>
      <c r="O52" s="10"/>
      <c r="P52" s="10"/>
    </row>
    <row r="53" spans="1:16" ht="12.75">
      <c r="A53" s="641" t="s">
        <v>1</v>
      </c>
      <c r="B53" s="625"/>
      <c r="C53" s="178" t="s">
        <v>207</v>
      </c>
      <c r="D53" s="6"/>
      <c r="E53" s="6"/>
      <c r="F53" s="6"/>
      <c r="G53" s="6"/>
      <c r="H53" s="70"/>
      <c r="J53" s="10"/>
      <c r="K53" s="10"/>
      <c r="L53" s="10"/>
      <c r="M53" s="10"/>
      <c r="N53" s="10"/>
      <c r="O53" s="10"/>
      <c r="P53" s="10"/>
    </row>
    <row r="54" spans="1:16" ht="13.5" thickBot="1">
      <c r="A54" s="642" t="s">
        <v>4</v>
      </c>
      <c r="B54" s="627"/>
      <c r="C54" s="179" t="s">
        <v>66</v>
      </c>
      <c r="D54" s="6"/>
      <c r="E54" s="6"/>
      <c r="F54" s="6"/>
      <c r="G54" s="6"/>
      <c r="H54" s="70"/>
      <c r="I54" s="10"/>
      <c r="J54" s="10"/>
      <c r="K54" s="10"/>
      <c r="L54" s="10"/>
      <c r="M54" s="10"/>
      <c r="N54" s="10"/>
      <c r="O54" s="10"/>
      <c r="P54" s="10"/>
    </row>
    <row r="55" spans="1:16" ht="13.5" thickTop="1">
      <c r="A55" s="69"/>
      <c r="B55" s="6"/>
      <c r="C55" s="6"/>
      <c r="D55" s="6"/>
      <c r="G55" s="6"/>
      <c r="H55" s="70"/>
      <c r="I55" s="10"/>
      <c r="J55" s="10"/>
      <c r="K55" s="10"/>
      <c r="L55" s="10"/>
      <c r="M55" s="10"/>
      <c r="N55" s="10"/>
      <c r="O55" s="10"/>
      <c r="P55" s="10"/>
    </row>
    <row r="56" spans="1:16" ht="15.75" thickBot="1">
      <c r="A56" s="310" t="s">
        <v>43</v>
      </c>
      <c r="B56" s="77"/>
      <c r="C56" s="9"/>
      <c r="D56" s="9"/>
      <c r="E56" s="9"/>
      <c r="F56" s="9"/>
      <c r="G56" s="9"/>
      <c r="H56" s="76"/>
      <c r="I56" s="10"/>
      <c r="J56" s="10"/>
      <c r="K56" s="10"/>
      <c r="L56" s="10"/>
      <c r="M56" s="10"/>
      <c r="N56" s="10"/>
      <c r="O56" s="10"/>
      <c r="P56" s="10"/>
    </row>
    <row r="57" spans="1:16" ht="13.5">
      <c r="A57" s="282" t="s">
        <v>50</v>
      </c>
      <c r="B57" s="283"/>
      <c r="C57" s="283"/>
      <c r="D57" s="290"/>
      <c r="E57" s="313">
        <v>24</v>
      </c>
      <c r="F57" s="314">
        <v>25</v>
      </c>
      <c r="G57" s="20"/>
      <c r="H57" s="76"/>
      <c r="I57" s="10"/>
      <c r="J57" s="10"/>
      <c r="K57" s="10"/>
      <c r="L57" s="10"/>
      <c r="M57" s="10"/>
      <c r="N57" s="10"/>
      <c r="O57" s="10"/>
      <c r="P57" s="10"/>
    </row>
    <row r="58" spans="1:16" ht="13.5">
      <c r="A58" s="280" t="s">
        <v>51</v>
      </c>
      <c r="B58" s="281"/>
      <c r="C58" s="281"/>
      <c r="D58" s="291"/>
      <c r="E58" s="315">
        <v>35</v>
      </c>
      <c r="F58" s="285">
        <v>32</v>
      </c>
      <c r="G58" s="12"/>
      <c r="H58" s="76"/>
      <c r="I58" s="10"/>
      <c r="J58" s="10"/>
      <c r="K58" s="10"/>
      <c r="L58" s="10"/>
      <c r="M58" s="10"/>
      <c r="N58" s="10"/>
      <c r="O58" s="10"/>
      <c r="P58" s="10"/>
    </row>
    <row r="59" spans="1:8" ht="13.5">
      <c r="A59" s="280" t="s">
        <v>52</v>
      </c>
      <c r="B59" s="281"/>
      <c r="C59" s="281"/>
      <c r="D59" s="291"/>
      <c r="E59" s="315">
        <v>32.1</v>
      </c>
      <c r="F59" s="285">
        <v>28.2</v>
      </c>
      <c r="G59" s="12"/>
      <c r="H59" s="76"/>
    </row>
    <row r="60" spans="1:8" ht="14.25" thickBot="1">
      <c r="A60" s="280" t="s">
        <v>53</v>
      </c>
      <c r="B60" s="281"/>
      <c r="C60" s="281"/>
      <c r="D60" s="291"/>
      <c r="E60" s="340">
        <v>15.83</v>
      </c>
      <c r="F60" s="286">
        <v>14.63</v>
      </c>
      <c r="G60" s="22"/>
      <c r="H60" s="76"/>
    </row>
    <row r="61" spans="1:8" ht="14.25" thickBot="1">
      <c r="A61" s="280" t="s">
        <v>54</v>
      </c>
      <c r="B61" s="281"/>
      <c r="C61" s="281"/>
      <c r="D61" s="291"/>
      <c r="E61" s="193">
        <f>E59-E60</f>
        <v>16.270000000000003</v>
      </c>
      <c r="F61" s="294">
        <f>F59-F60</f>
        <v>13.569999999999999</v>
      </c>
      <c r="G61" s="12"/>
      <c r="H61" s="70"/>
    </row>
    <row r="62" spans="1:8" ht="14.25" thickBot="1">
      <c r="A62" s="280" t="s">
        <v>55</v>
      </c>
      <c r="B62" s="281"/>
      <c r="C62" s="281"/>
      <c r="D62" s="291"/>
      <c r="E62" s="193">
        <f>E58-E59</f>
        <v>2.8999999999999986</v>
      </c>
      <c r="F62" s="295">
        <f>F58-F59</f>
        <v>3.8000000000000007</v>
      </c>
      <c r="G62" s="12"/>
      <c r="H62" s="70"/>
    </row>
    <row r="63" spans="1:8" ht="14.25" thickBot="1">
      <c r="A63" s="280" t="s">
        <v>56</v>
      </c>
      <c r="B63" s="281"/>
      <c r="C63" s="281"/>
      <c r="D63" s="291"/>
      <c r="E63" s="195">
        <f>E62*100/E61</f>
        <v>17.824216349108777</v>
      </c>
      <c r="F63" s="293">
        <f>F62*100/F61</f>
        <v>28.002947678703027</v>
      </c>
      <c r="G63" s="22"/>
      <c r="H63" s="70"/>
    </row>
    <row r="64" spans="1:8" ht="14.25" thickBot="1">
      <c r="A64" s="287" t="s">
        <v>42</v>
      </c>
      <c r="B64" s="288"/>
      <c r="C64" s="288"/>
      <c r="D64" s="296"/>
      <c r="E64" s="267">
        <v>33</v>
      </c>
      <c r="F64" s="289">
        <v>15</v>
      </c>
      <c r="G64" s="12"/>
      <c r="H64" s="70"/>
    </row>
    <row r="65" spans="1:8" ht="18" thickBot="1">
      <c r="A65" s="341"/>
      <c r="B65" s="342"/>
      <c r="C65" s="217"/>
      <c r="D65" s="217"/>
      <c r="E65" s="262"/>
      <c r="F65" s="262"/>
      <c r="G65" s="12"/>
      <c r="H65" s="70"/>
    </row>
    <row r="66" spans="1:8" ht="14.25" thickBot="1">
      <c r="A66" s="307" t="s">
        <v>44</v>
      </c>
      <c r="B66" s="308" t="s">
        <v>45</v>
      </c>
      <c r="C66" s="308" t="s">
        <v>46</v>
      </c>
      <c r="D66" s="308" t="s">
        <v>46</v>
      </c>
      <c r="E66" s="262"/>
      <c r="F66" s="262"/>
      <c r="G66" s="12"/>
      <c r="H66" s="70"/>
    </row>
    <row r="67" spans="1:8" ht="13.5">
      <c r="A67" s="298">
        <f>E64</f>
        <v>33</v>
      </c>
      <c r="B67" s="299">
        <f>E63</f>
        <v>17.824216349108777</v>
      </c>
      <c r="C67" s="299">
        <f>B67*(A67/25)^0.121</f>
        <v>18.433164153304205</v>
      </c>
      <c r="D67" s="645">
        <f>AVERAGE(C67:C68)</f>
        <v>22.378829627297552</v>
      </c>
      <c r="E67" s="262"/>
      <c r="F67" s="262"/>
      <c r="G67" s="12"/>
      <c r="H67" s="70"/>
    </row>
    <row r="68" spans="1:8" ht="14.25" thickBot="1">
      <c r="A68" s="300">
        <f>F64</f>
        <v>15</v>
      </c>
      <c r="B68" s="301">
        <f>F63</f>
        <v>28.002947678703027</v>
      </c>
      <c r="C68" s="301">
        <f>B68*(A68/25)^0.121</f>
        <v>26.3244951012909</v>
      </c>
      <c r="D68" s="646"/>
      <c r="E68" s="262"/>
      <c r="F68" s="262"/>
      <c r="G68" s="12"/>
      <c r="H68" s="70"/>
    </row>
    <row r="69" spans="1:8" ht="14.25" thickBot="1">
      <c r="A69" s="216"/>
      <c r="B69" s="278"/>
      <c r="C69" s="309" t="s">
        <v>65</v>
      </c>
      <c r="D69" s="302"/>
      <c r="E69" s="262"/>
      <c r="F69" s="262"/>
      <c r="G69" s="12"/>
      <c r="H69" s="70"/>
    </row>
    <row r="70" spans="1:8" ht="14.25" thickBot="1">
      <c r="A70" s="216"/>
      <c r="B70" s="278"/>
      <c r="C70" s="307" t="s">
        <v>45</v>
      </c>
      <c r="D70" s="308" t="s">
        <v>47</v>
      </c>
      <c r="E70" s="262"/>
      <c r="F70" s="262"/>
      <c r="G70" s="12"/>
      <c r="H70" s="70"/>
    </row>
    <row r="71" spans="1:8" ht="13.5">
      <c r="A71" s="216"/>
      <c r="B71" s="278"/>
      <c r="C71" s="303">
        <f>B67</f>
        <v>17.824216349108777</v>
      </c>
      <c r="D71" s="304">
        <f>A67</f>
        <v>33</v>
      </c>
      <c r="E71" s="262"/>
      <c r="F71" s="262"/>
      <c r="G71" s="12"/>
      <c r="H71" s="70"/>
    </row>
    <row r="72" spans="1:8" ht="14.25" thickBot="1">
      <c r="A72" s="216"/>
      <c r="B72" s="278"/>
      <c r="C72" s="305">
        <f>B68</f>
        <v>28.002947678703027</v>
      </c>
      <c r="D72" s="306">
        <f>A68</f>
        <v>15</v>
      </c>
      <c r="E72" s="262"/>
      <c r="F72" s="345"/>
      <c r="H72" s="70"/>
    </row>
    <row r="73" spans="1:8" ht="15.75">
      <c r="A73" s="81"/>
      <c r="B73" s="11"/>
      <c r="C73" s="9"/>
      <c r="D73" s="9"/>
      <c r="E73" s="12"/>
      <c r="F73" s="12"/>
      <c r="G73" s="12"/>
      <c r="H73" s="70"/>
    </row>
    <row r="74" spans="1:8" ht="15.75" thickBot="1">
      <c r="A74" s="310" t="s">
        <v>48</v>
      </c>
      <c r="B74" s="77"/>
      <c r="C74" s="9"/>
      <c r="D74" s="9"/>
      <c r="E74" s="9"/>
      <c r="F74" s="9"/>
      <c r="G74" s="9"/>
      <c r="H74" s="70"/>
    </row>
    <row r="75" spans="1:8" ht="13.5">
      <c r="A75" s="282" t="s">
        <v>50</v>
      </c>
      <c r="B75" s="311"/>
      <c r="C75" s="311"/>
      <c r="D75" s="312"/>
      <c r="E75" s="313">
        <v>26</v>
      </c>
      <c r="F75" s="314">
        <v>27</v>
      </c>
      <c r="G75" s="351"/>
      <c r="H75" s="70"/>
    </row>
    <row r="76" spans="1:8" ht="13.5">
      <c r="A76" s="280" t="s">
        <v>51</v>
      </c>
      <c r="B76" s="281"/>
      <c r="C76" s="281"/>
      <c r="D76" s="291"/>
      <c r="E76" s="315">
        <v>19.5</v>
      </c>
      <c r="F76" s="285">
        <v>17.5</v>
      </c>
      <c r="G76" s="352"/>
      <c r="H76" s="70"/>
    </row>
    <row r="77" spans="1:8" ht="13.5">
      <c r="A77" s="280" t="s">
        <v>52</v>
      </c>
      <c r="B77" s="281"/>
      <c r="C77" s="281"/>
      <c r="D77" s="291"/>
      <c r="E77" s="315">
        <v>19.3</v>
      </c>
      <c r="F77" s="316">
        <v>17.39</v>
      </c>
      <c r="G77" s="352"/>
      <c r="H77" s="70"/>
    </row>
    <row r="78" spans="1:8" ht="14.25" thickBot="1">
      <c r="A78" s="280" t="s">
        <v>53</v>
      </c>
      <c r="B78" s="281"/>
      <c r="C78" s="281"/>
      <c r="D78" s="291"/>
      <c r="E78" s="355">
        <v>17.02</v>
      </c>
      <c r="F78" s="286">
        <v>15.01</v>
      </c>
      <c r="G78" s="352"/>
      <c r="H78" s="70"/>
    </row>
    <row r="79" spans="1:8" ht="14.25" thickBot="1">
      <c r="A79" s="280" t="s">
        <v>54</v>
      </c>
      <c r="B79" s="281"/>
      <c r="C79" s="281"/>
      <c r="D79" s="291"/>
      <c r="E79" s="198">
        <f>E77-E78</f>
        <v>2.280000000000001</v>
      </c>
      <c r="F79" s="294">
        <f>F77-F78</f>
        <v>2.380000000000001</v>
      </c>
      <c r="G79" s="353"/>
      <c r="H79" s="70"/>
    </row>
    <row r="80" spans="1:8" ht="14.25" thickBot="1">
      <c r="A80" s="280" t="s">
        <v>55</v>
      </c>
      <c r="B80" s="281"/>
      <c r="C80" s="281"/>
      <c r="D80" s="291"/>
      <c r="E80" s="193">
        <f>E76-E77</f>
        <v>0.1999999999999993</v>
      </c>
      <c r="F80" s="294">
        <f>F76-F77</f>
        <v>0.10999999999999943</v>
      </c>
      <c r="G80" s="352"/>
      <c r="H80" s="70"/>
    </row>
    <row r="81" spans="1:8" ht="14.25" thickBot="1">
      <c r="A81" s="287" t="s">
        <v>56</v>
      </c>
      <c r="B81" s="288"/>
      <c r="C81" s="288"/>
      <c r="D81" s="296"/>
      <c r="E81" s="195">
        <f>E80*100/E79</f>
        <v>8.771929824561369</v>
      </c>
      <c r="F81" s="293">
        <f>F80*100/F79</f>
        <v>4.621848739495773</v>
      </c>
      <c r="G81" s="354"/>
      <c r="H81" s="70"/>
    </row>
    <row r="82" spans="1:8" ht="12.75">
      <c r="A82" s="82"/>
      <c r="B82" s="9"/>
      <c r="C82" s="9"/>
      <c r="D82" s="9"/>
      <c r="E82" s="9"/>
      <c r="F82" s="9"/>
      <c r="G82" s="9"/>
      <c r="H82" s="70"/>
    </row>
    <row r="83" spans="1:8" ht="12.75">
      <c r="A83" s="82"/>
      <c r="B83" s="9"/>
      <c r="C83" s="321" t="s">
        <v>57</v>
      </c>
      <c r="D83" s="9"/>
      <c r="E83" s="9"/>
      <c r="F83" s="9"/>
      <c r="G83" s="9"/>
      <c r="H83" s="70"/>
    </row>
    <row r="84" spans="1:8" ht="12.75">
      <c r="A84" s="82"/>
      <c r="B84" s="9"/>
      <c r="C84" s="86"/>
      <c r="D84" s="9"/>
      <c r="E84" s="9"/>
      <c r="F84" s="9"/>
      <c r="G84" s="9"/>
      <c r="H84" s="70"/>
    </row>
    <row r="85" spans="1:8" ht="13.5">
      <c r="A85" s="216"/>
      <c r="B85" s="217"/>
      <c r="C85" s="322" t="s">
        <v>59</v>
      </c>
      <c r="D85" s="322"/>
      <c r="E85" s="217"/>
      <c r="F85" s="357">
        <f>D67</f>
        <v>22.378829627297552</v>
      </c>
      <c r="G85" s="358" t="s">
        <v>23</v>
      </c>
      <c r="H85" s="70"/>
    </row>
    <row r="86" spans="1:8" ht="13.5">
      <c r="A86" s="216"/>
      <c r="B86" s="217"/>
      <c r="C86" s="322" t="s">
        <v>58</v>
      </c>
      <c r="D86" s="322"/>
      <c r="E86" s="217"/>
      <c r="F86" s="357">
        <f>AVERAGE(E81:G81)</f>
        <v>6.696889282028571</v>
      </c>
      <c r="G86" s="358" t="s">
        <v>23</v>
      </c>
      <c r="H86" s="70"/>
    </row>
    <row r="87" spans="1:8" ht="13.5">
      <c r="A87" s="216"/>
      <c r="B87" s="217"/>
      <c r="C87" s="322" t="s">
        <v>49</v>
      </c>
      <c r="D87" s="322"/>
      <c r="E87" s="217"/>
      <c r="F87" s="357">
        <f>F85-F86</f>
        <v>15.68194034526898</v>
      </c>
      <c r="G87" s="358" t="s">
        <v>23</v>
      </c>
      <c r="H87" s="70"/>
    </row>
    <row r="88" spans="1:8" ht="13.5">
      <c r="A88" s="216"/>
      <c r="B88" s="217"/>
      <c r="C88" s="217"/>
      <c r="D88" s="217"/>
      <c r="E88" s="217"/>
      <c r="F88" s="217"/>
      <c r="G88" s="217"/>
      <c r="H88" s="70"/>
    </row>
    <row r="89" spans="1:8" ht="13.5">
      <c r="A89" s="325" t="s">
        <v>60</v>
      </c>
      <c r="B89" s="217"/>
      <c r="C89" s="217"/>
      <c r="D89" s="217"/>
      <c r="E89" s="217"/>
      <c r="F89" s="217"/>
      <c r="G89" s="217"/>
      <c r="H89" s="70"/>
    </row>
    <row r="90" spans="1:8" ht="14.25" thickBot="1">
      <c r="A90" s="216"/>
      <c r="B90" s="217"/>
      <c r="C90" s="217"/>
      <c r="D90" s="217"/>
      <c r="E90" s="217"/>
      <c r="F90" s="217"/>
      <c r="G90" s="217"/>
      <c r="H90" s="70"/>
    </row>
    <row r="91" spans="1:8" ht="14.25" thickBot="1">
      <c r="A91" s="216"/>
      <c r="B91" s="217"/>
      <c r="C91" s="217"/>
      <c r="D91" s="217"/>
      <c r="E91" s="332" t="s">
        <v>61</v>
      </c>
      <c r="F91" s="335">
        <f>C95-35</f>
        <v>46.117119764878765</v>
      </c>
      <c r="G91" s="217"/>
      <c r="H91" s="70"/>
    </row>
    <row r="92" spans="1:8" ht="14.25" thickBot="1">
      <c r="A92" s="339" t="s">
        <v>169</v>
      </c>
      <c r="B92" s="264">
        <f>(0.2*F91)+(0.005*F91*F93)+(0.01*F92*F94)</f>
        <v>9.223423952975754</v>
      </c>
      <c r="C92" s="360">
        <f>B92</f>
        <v>9.223423952975754</v>
      </c>
      <c r="D92" s="217"/>
      <c r="E92" s="333" t="s">
        <v>62</v>
      </c>
      <c r="F92" s="336">
        <f>C95-15</f>
        <v>66.11711976487877</v>
      </c>
      <c r="G92" s="217"/>
      <c r="H92" s="70"/>
    </row>
    <row r="93" spans="1:8" ht="13.5">
      <c r="A93" s="326"/>
      <c r="B93" s="359"/>
      <c r="C93" s="359"/>
      <c r="D93" s="217"/>
      <c r="E93" s="333" t="s">
        <v>63</v>
      </c>
      <c r="F93" s="336">
        <v>0</v>
      </c>
      <c r="G93" s="217"/>
      <c r="H93" s="70"/>
    </row>
    <row r="94" spans="1:8" ht="14.25" thickBot="1">
      <c r="A94" s="216"/>
      <c r="B94" s="217"/>
      <c r="C94" s="217"/>
      <c r="D94" s="217"/>
      <c r="E94" s="334" t="s">
        <v>64</v>
      </c>
      <c r="F94" s="368">
        <v>0</v>
      </c>
      <c r="G94" s="217"/>
      <c r="H94" s="70"/>
    </row>
    <row r="95" spans="1:8" ht="14.25" thickBot="1">
      <c r="A95" s="216"/>
      <c r="B95" s="307" t="s">
        <v>197</v>
      </c>
      <c r="C95" s="201">
        <f>granulometria!G97</f>
        <v>81.11711976487877</v>
      </c>
      <c r="D95" s="217"/>
      <c r="E95" s="217"/>
      <c r="F95" s="217"/>
      <c r="G95" s="217"/>
      <c r="H95" s="70"/>
    </row>
    <row r="96" spans="1:8" ht="14.25" thickBot="1">
      <c r="A96" s="356"/>
      <c r="B96" s="307" t="s">
        <v>80</v>
      </c>
      <c r="C96" s="201">
        <f>F85</f>
        <v>22.378829627297552</v>
      </c>
      <c r="D96" s="217"/>
      <c r="E96" s="217"/>
      <c r="F96" s="217"/>
      <c r="G96" s="217"/>
      <c r="H96" s="70"/>
    </row>
    <row r="97" spans="1:8" ht="14.25" thickBot="1">
      <c r="A97" s="216"/>
      <c r="B97" s="330" t="s">
        <v>198</v>
      </c>
      <c r="C97" s="361">
        <f>F87</f>
        <v>15.68194034526898</v>
      </c>
      <c r="D97" s="217"/>
      <c r="E97" s="217"/>
      <c r="F97" s="217"/>
      <c r="G97" s="217"/>
      <c r="H97" s="70"/>
    </row>
    <row r="98" spans="1:8" ht="13.5" thickBot="1">
      <c r="A98" s="24"/>
      <c r="B98" s="7"/>
      <c r="C98" s="174"/>
      <c r="D98" s="7"/>
      <c r="E98" s="7"/>
      <c r="F98" s="7"/>
      <c r="G98" s="7"/>
      <c r="H98" s="25"/>
    </row>
    <row r="99" spans="1:8" s="171" customFormat="1" ht="13.5" thickBot="1">
      <c r="A99" s="637" t="s">
        <v>41</v>
      </c>
      <c r="B99" s="638"/>
      <c r="C99" s="638"/>
      <c r="D99" s="638"/>
      <c r="E99" s="638"/>
      <c r="F99" s="638"/>
      <c r="G99" s="638"/>
      <c r="H99" s="639"/>
    </row>
    <row r="100" spans="1:8" ht="13.5" thickBot="1">
      <c r="A100" s="69"/>
      <c r="B100" s="6"/>
      <c r="C100" s="6"/>
      <c r="D100" s="6"/>
      <c r="E100" s="6"/>
      <c r="F100" s="6"/>
      <c r="G100" s="6"/>
      <c r="H100" s="70"/>
    </row>
    <row r="101" spans="1:8" ht="13.5" thickTop="1">
      <c r="A101" s="640" t="s">
        <v>2</v>
      </c>
      <c r="B101" s="623"/>
      <c r="C101" s="177" t="s">
        <v>3</v>
      </c>
      <c r="D101" s="6"/>
      <c r="E101" s="6"/>
      <c r="F101" s="6"/>
      <c r="G101" s="6"/>
      <c r="H101" s="70"/>
    </row>
    <row r="102" spans="1:8" ht="12.75">
      <c r="A102" s="641" t="s">
        <v>1</v>
      </c>
      <c r="B102" s="625"/>
      <c r="C102" s="178" t="s">
        <v>208</v>
      </c>
      <c r="D102" s="6"/>
      <c r="E102" s="6"/>
      <c r="F102" s="6"/>
      <c r="G102" s="6"/>
      <c r="H102" s="70"/>
    </row>
    <row r="103" spans="1:8" ht="13.5" thickBot="1">
      <c r="A103" s="642" t="s">
        <v>4</v>
      </c>
      <c r="B103" s="627"/>
      <c r="C103" s="179" t="s">
        <v>67</v>
      </c>
      <c r="D103" s="6"/>
      <c r="E103" s="6"/>
      <c r="H103" s="70"/>
    </row>
    <row r="104" spans="1:8" ht="13.5" thickTop="1">
      <c r="A104" s="69"/>
      <c r="B104" s="6"/>
      <c r="C104" s="6"/>
      <c r="D104" s="6"/>
      <c r="E104" s="6"/>
      <c r="F104" s="6"/>
      <c r="G104" s="6"/>
      <c r="H104" s="70"/>
    </row>
    <row r="105" spans="1:8" ht="15.75" thickBot="1">
      <c r="A105" s="310" t="s">
        <v>43</v>
      </c>
      <c r="B105" s="77"/>
      <c r="C105" s="9"/>
      <c r="D105" s="9"/>
      <c r="E105" s="9"/>
      <c r="F105" s="9"/>
      <c r="G105" s="9"/>
      <c r="H105" s="70"/>
    </row>
    <row r="106" spans="1:8" ht="13.5">
      <c r="A106" s="282" t="s">
        <v>50</v>
      </c>
      <c r="B106" s="283"/>
      <c r="C106" s="283"/>
      <c r="D106" s="290"/>
      <c r="E106" s="314">
        <v>28</v>
      </c>
      <c r="F106" s="314">
        <v>29</v>
      </c>
      <c r="G106" s="20"/>
      <c r="H106" s="70"/>
    </row>
    <row r="107" spans="1:8" ht="13.5">
      <c r="A107" s="280" t="s">
        <v>51</v>
      </c>
      <c r="B107" s="281"/>
      <c r="C107" s="281"/>
      <c r="D107" s="291"/>
      <c r="E107" s="285">
        <v>31.87</v>
      </c>
      <c r="F107" s="285">
        <v>29.95</v>
      </c>
      <c r="G107" s="12"/>
      <c r="H107" s="70"/>
    </row>
    <row r="108" spans="1:8" ht="13.5">
      <c r="A108" s="280" t="s">
        <v>52</v>
      </c>
      <c r="B108" s="281"/>
      <c r="C108" s="281"/>
      <c r="D108" s="291"/>
      <c r="E108" s="285">
        <v>27.37</v>
      </c>
      <c r="F108" s="285">
        <v>26.29</v>
      </c>
      <c r="G108" s="12"/>
      <c r="H108" s="70"/>
    </row>
    <row r="109" spans="1:8" ht="14.25" thickBot="1">
      <c r="A109" s="280" t="s">
        <v>53</v>
      </c>
      <c r="B109" s="281"/>
      <c r="C109" s="281"/>
      <c r="D109" s="291"/>
      <c r="E109" s="292">
        <v>14.66</v>
      </c>
      <c r="F109" s="317">
        <v>16.26</v>
      </c>
      <c r="G109" s="22"/>
      <c r="H109" s="70"/>
    </row>
    <row r="110" spans="1:8" ht="14.25" thickBot="1">
      <c r="A110" s="280" t="s">
        <v>54</v>
      </c>
      <c r="B110" s="281"/>
      <c r="C110" s="281"/>
      <c r="D110" s="291"/>
      <c r="E110" s="193">
        <f>E108-E109</f>
        <v>12.71</v>
      </c>
      <c r="F110" s="294">
        <f>F108-F109</f>
        <v>10.029999999999998</v>
      </c>
      <c r="G110" s="12"/>
      <c r="H110" s="70"/>
    </row>
    <row r="111" spans="1:8" ht="14.25" thickBot="1">
      <c r="A111" s="280" t="s">
        <v>55</v>
      </c>
      <c r="B111" s="281"/>
      <c r="C111" s="281"/>
      <c r="D111" s="291"/>
      <c r="E111" s="193">
        <f>E107-E108</f>
        <v>4.5</v>
      </c>
      <c r="F111" s="295">
        <f>F107-F108</f>
        <v>3.66</v>
      </c>
      <c r="G111" s="12"/>
      <c r="H111" s="70"/>
    </row>
    <row r="112" spans="1:8" ht="14.25" thickBot="1">
      <c r="A112" s="280" t="s">
        <v>56</v>
      </c>
      <c r="B112" s="281"/>
      <c r="C112" s="281"/>
      <c r="D112" s="291"/>
      <c r="E112" s="198">
        <f>E111*100/E110</f>
        <v>35.405192761605036</v>
      </c>
      <c r="F112" s="294">
        <f>F111*100/F110</f>
        <v>36.490528414755744</v>
      </c>
      <c r="G112" s="22"/>
      <c r="H112" s="70"/>
    </row>
    <row r="113" spans="1:8" ht="14.25" thickBot="1">
      <c r="A113" s="287" t="s">
        <v>42</v>
      </c>
      <c r="B113" s="288"/>
      <c r="C113" s="288"/>
      <c r="D113" s="296"/>
      <c r="E113" s="289">
        <v>30</v>
      </c>
      <c r="F113" s="289">
        <v>23</v>
      </c>
      <c r="G113" s="12"/>
      <c r="H113" s="70"/>
    </row>
    <row r="114" spans="1:8" ht="18" thickBot="1">
      <c r="A114" s="341"/>
      <c r="B114" s="342"/>
      <c r="C114" s="217"/>
      <c r="D114" s="217"/>
      <c r="E114" s="262"/>
      <c r="F114" s="262"/>
      <c r="G114" s="12"/>
      <c r="H114" s="70"/>
    </row>
    <row r="115" spans="1:8" ht="14.25" thickBot="1">
      <c r="A115" s="307" t="s">
        <v>44</v>
      </c>
      <c r="B115" s="308" t="s">
        <v>45</v>
      </c>
      <c r="C115" s="308" t="s">
        <v>46</v>
      </c>
      <c r="D115" s="308" t="s">
        <v>46</v>
      </c>
      <c r="E115" s="262"/>
      <c r="F115" s="262"/>
      <c r="G115" s="12"/>
      <c r="H115" s="70"/>
    </row>
    <row r="116" spans="1:8" ht="13.5">
      <c r="A116" s="343">
        <f>E113</f>
        <v>30</v>
      </c>
      <c r="B116" s="252">
        <f>E112</f>
        <v>35.405192761605036</v>
      </c>
      <c r="C116" s="252">
        <f>B116*(A116/25)^0.121</f>
        <v>36.19494274643112</v>
      </c>
      <c r="D116" s="643">
        <f>AVERAGE(C116:C117)</f>
        <v>36.15958141370912</v>
      </c>
      <c r="E116" s="262"/>
      <c r="F116" s="262"/>
      <c r="G116" s="12"/>
      <c r="H116" s="70"/>
    </row>
    <row r="117" spans="1:8" ht="14.25" thickBot="1">
      <c r="A117" s="346">
        <f>F113</f>
        <v>23</v>
      </c>
      <c r="B117" s="255">
        <f>F112</f>
        <v>36.490528414755744</v>
      </c>
      <c r="C117" s="255">
        <f>B117*(A117/25)^0.121</f>
        <v>36.12422008098713</v>
      </c>
      <c r="D117" s="644"/>
      <c r="E117" s="262"/>
      <c r="F117" s="262"/>
      <c r="G117" s="12"/>
      <c r="H117" s="70"/>
    </row>
    <row r="118" spans="1:8" ht="14.25" thickBot="1">
      <c r="A118" s="216"/>
      <c r="B118" s="278"/>
      <c r="C118" s="309" t="s">
        <v>65</v>
      </c>
      <c r="D118" s="302"/>
      <c r="E118" s="262"/>
      <c r="F118" s="262"/>
      <c r="G118" s="12"/>
      <c r="H118" s="70"/>
    </row>
    <row r="119" spans="1:8" ht="14.25" thickBot="1">
      <c r="A119" s="216"/>
      <c r="B119" s="278"/>
      <c r="C119" s="307" t="s">
        <v>45</v>
      </c>
      <c r="D119" s="308" t="s">
        <v>47</v>
      </c>
      <c r="E119" s="262"/>
      <c r="F119" s="262"/>
      <c r="G119" s="12"/>
      <c r="H119" s="70"/>
    </row>
    <row r="120" spans="1:8" ht="13.5">
      <c r="A120" s="216"/>
      <c r="B120" s="278"/>
      <c r="C120" s="363">
        <f>B116</f>
        <v>35.405192761605036</v>
      </c>
      <c r="D120" s="362">
        <f>A116</f>
        <v>30</v>
      </c>
      <c r="E120" s="262"/>
      <c r="F120" s="262"/>
      <c r="G120" s="12"/>
      <c r="H120" s="70"/>
    </row>
    <row r="121" spans="1:8" ht="14.25" thickBot="1">
      <c r="A121" s="216"/>
      <c r="B121" s="278"/>
      <c r="C121" s="305">
        <f>B117</f>
        <v>36.490528414755744</v>
      </c>
      <c r="D121" s="306">
        <f>A117</f>
        <v>23</v>
      </c>
      <c r="E121" s="262"/>
      <c r="F121" s="345"/>
      <c r="H121" s="70"/>
    </row>
    <row r="122" spans="1:8" ht="15.75">
      <c r="A122" s="81"/>
      <c r="B122" s="11"/>
      <c r="C122" s="9"/>
      <c r="D122" s="9"/>
      <c r="E122" s="12"/>
      <c r="F122" s="12"/>
      <c r="G122" s="12"/>
      <c r="H122" s="70"/>
    </row>
    <row r="123" spans="1:8" ht="15.75" thickBot="1">
      <c r="A123" s="310" t="s">
        <v>48</v>
      </c>
      <c r="B123" s="77"/>
      <c r="C123" s="9"/>
      <c r="D123" s="9"/>
      <c r="E123" s="9"/>
      <c r="F123" s="9"/>
      <c r="G123" s="9"/>
      <c r="H123" s="70"/>
    </row>
    <row r="124" spans="1:8" ht="13.5">
      <c r="A124" s="282" t="s">
        <v>50</v>
      </c>
      <c r="B124" s="311"/>
      <c r="C124" s="311"/>
      <c r="D124" s="312"/>
      <c r="E124" s="313">
        <v>30</v>
      </c>
      <c r="F124" s="314">
        <v>31</v>
      </c>
      <c r="G124" s="20"/>
      <c r="H124" s="70"/>
    </row>
    <row r="125" spans="1:8" ht="13.5">
      <c r="A125" s="280" t="s">
        <v>51</v>
      </c>
      <c r="B125" s="281"/>
      <c r="C125" s="281"/>
      <c r="D125" s="291"/>
      <c r="E125" s="315">
        <v>19.93</v>
      </c>
      <c r="F125" s="285">
        <v>19.85</v>
      </c>
      <c r="G125" s="12"/>
      <c r="H125" s="70"/>
    </row>
    <row r="126" spans="1:8" ht="13.5">
      <c r="A126" s="280" t="s">
        <v>52</v>
      </c>
      <c r="B126" s="281"/>
      <c r="C126" s="281"/>
      <c r="D126" s="291"/>
      <c r="E126" s="315">
        <v>19.15</v>
      </c>
      <c r="F126" s="316">
        <v>19.03</v>
      </c>
      <c r="G126" s="12"/>
      <c r="H126" s="70"/>
    </row>
    <row r="127" spans="1:8" ht="14.25" thickBot="1">
      <c r="A127" s="280" t="s">
        <v>53</v>
      </c>
      <c r="B127" s="281"/>
      <c r="C127" s="281"/>
      <c r="D127" s="291"/>
      <c r="E127" s="317">
        <v>16.17</v>
      </c>
      <c r="F127" s="318">
        <v>16.04</v>
      </c>
      <c r="G127" s="12"/>
      <c r="H127" s="70"/>
    </row>
    <row r="128" spans="1:8" ht="14.25" thickBot="1">
      <c r="A128" s="280" t="s">
        <v>54</v>
      </c>
      <c r="B128" s="281"/>
      <c r="C128" s="281"/>
      <c r="D128" s="291"/>
      <c r="E128" s="198">
        <f>E126-E127</f>
        <v>2.979999999999997</v>
      </c>
      <c r="F128" s="294">
        <f>F126-F127</f>
        <v>2.990000000000002</v>
      </c>
      <c r="G128" s="22"/>
      <c r="H128" s="70"/>
    </row>
    <row r="129" spans="1:8" ht="14.25" thickBot="1">
      <c r="A129" s="280" t="s">
        <v>55</v>
      </c>
      <c r="B129" s="281"/>
      <c r="C129" s="281"/>
      <c r="D129" s="291"/>
      <c r="E129" s="193">
        <f>E125-E126</f>
        <v>0.7800000000000011</v>
      </c>
      <c r="F129" s="294">
        <f>F125-F126</f>
        <v>0.8200000000000003</v>
      </c>
      <c r="G129" s="12"/>
      <c r="H129" s="70"/>
    </row>
    <row r="130" spans="1:8" ht="14.25" thickBot="1">
      <c r="A130" s="287" t="s">
        <v>56</v>
      </c>
      <c r="B130" s="288"/>
      <c r="C130" s="288"/>
      <c r="D130" s="296"/>
      <c r="E130" s="195">
        <f>E129*100/E128</f>
        <v>26.174496644295367</v>
      </c>
      <c r="F130" s="293">
        <f>F129*100/F128</f>
        <v>27.42474916387959</v>
      </c>
      <c r="G130" s="22"/>
      <c r="H130" s="70"/>
    </row>
    <row r="131" spans="1:8" ht="12.75">
      <c r="A131" s="82"/>
      <c r="B131" s="9"/>
      <c r="C131" s="9"/>
      <c r="D131" s="9"/>
      <c r="E131" s="9"/>
      <c r="F131" s="9"/>
      <c r="G131" s="9"/>
      <c r="H131" s="70"/>
    </row>
    <row r="132" spans="1:8" ht="12.75">
      <c r="A132" s="82"/>
      <c r="B132" s="9"/>
      <c r="C132" s="321" t="s">
        <v>57</v>
      </c>
      <c r="D132" s="9"/>
      <c r="E132" s="9"/>
      <c r="F132" s="9"/>
      <c r="G132" s="9"/>
      <c r="H132" s="70"/>
    </row>
    <row r="133" spans="1:8" ht="12.75">
      <c r="A133" s="82"/>
      <c r="B133" s="9"/>
      <c r="C133" s="86"/>
      <c r="D133" s="9"/>
      <c r="E133" s="9"/>
      <c r="F133" s="365"/>
      <c r="G133" s="365"/>
      <c r="H133" s="70"/>
    </row>
    <row r="134" spans="1:8" ht="13.5">
      <c r="A134" s="216"/>
      <c r="B134" s="217"/>
      <c r="C134" s="322" t="s">
        <v>59</v>
      </c>
      <c r="D134" s="322"/>
      <c r="E134" s="217"/>
      <c r="F134" s="324">
        <f>D116</f>
        <v>36.15958141370912</v>
      </c>
      <c r="G134" s="365" t="s">
        <v>23</v>
      </c>
      <c r="H134" s="70"/>
    </row>
    <row r="135" spans="1:8" ht="13.5">
      <c r="A135" s="216"/>
      <c r="B135" s="217"/>
      <c r="C135" s="322" t="s">
        <v>58</v>
      </c>
      <c r="D135" s="322"/>
      <c r="E135" s="217"/>
      <c r="F135" s="324">
        <f>AVERAGE(E130:G130)</f>
        <v>26.799622904087478</v>
      </c>
      <c r="G135" s="365" t="s">
        <v>23</v>
      </c>
      <c r="H135" s="70"/>
    </row>
    <row r="136" spans="1:8" ht="13.5">
      <c r="A136" s="216"/>
      <c r="B136" s="217"/>
      <c r="C136" s="322" t="s">
        <v>49</v>
      </c>
      <c r="D136" s="322"/>
      <c r="E136" s="217"/>
      <c r="F136" s="324">
        <f>F134-F135</f>
        <v>9.359958509621642</v>
      </c>
      <c r="G136" s="365" t="s">
        <v>23</v>
      </c>
      <c r="H136" s="70"/>
    </row>
    <row r="137" spans="1:8" ht="13.5">
      <c r="A137" s="216"/>
      <c r="B137" s="217"/>
      <c r="C137" s="217"/>
      <c r="D137" s="217"/>
      <c r="E137" s="217"/>
      <c r="F137" s="217"/>
      <c r="G137" s="9"/>
      <c r="H137" s="70"/>
    </row>
    <row r="138" spans="1:8" ht="13.5">
      <c r="A138" s="325" t="s">
        <v>60</v>
      </c>
      <c r="B138" s="217"/>
      <c r="C138" s="217"/>
      <c r="D138" s="217"/>
      <c r="E138" s="217"/>
      <c r="F138" s="217"/>
      <c r="G138" s="6"/>
      <c r="H138" s="70"/>
    </row>
    <row r="139" spans="1:8" ht="14.25" thickBot="1">
      <c r="A139" s="216"/>
      <c r="B139" s="217"/>
      <c r="C139" s="217"/>
      <c r="D139" s="217"/>
      <c r="E139" s="217"/>
      <c r="F139" s="217"/>
      <c r="G139" s="6"/>
      <c r="H139" s="70"/>
    </row>
    <row r="140" spans="1:8" ht="14.25" thickBot="1">
      <c r="A140" s="216"/>
      <c r="B140" s="217"/>
      <c r="C140" s="217"/>
      <c r="D140" s="217"/>
      <c r="E140" s="332" t="s">
        <v>61</v>
      </c>
      <c r="F140" s="335">
        <f>C144-35</f>
        <v>55.058364312267656</v>
      </c>
      <c r="G140" s="6"/>
      <c r="H140" s="70"/>
    </row>
    <row r="141" spans="1:8" ht="14.25" thickBot="1">
      <c r="A141" s="366" t="s">
        <v>169</v>
      </c>
      <c r="B141" s="264">
        <f>(0.2*F140)+(0.005*F140*F142)+(0.01*F141*F143)</f>
        <v>11.011672862453532</v>
      </c>
      <c r="C141" s="367">
        <f>B141</f>
        <v>11.011672862453532</v>
      </c>
      <c r="D141" s="217"/>
      <c r="E141" s="333" t="s">
        <v>62</v>
      </c>
      <c r="F141" s="336">
        <f>C144-15</f>
        <v>75.05836431226766</v>
      </c>
      <c r="G141" s="6"/>
      <c r="H141" s="70"/>
    </row>
    <row r="142" spans="1:8" ht="13.5">
      <c r="A142" s="326"/>
      <c r="B142" s="359"/>
      <c r="C142" s="359"/>
      <c r="D142" s="217"/>
      <c r="E142" s="333" t="s">
        <v>63</v>
      </c>
      <c r="F142" s="336">
        <v>0</v>
      </c>
      <c r="G142" s="6"/>
      <c r="H142" s="70"/>
    </row>
    <row r="143" spans="1:8" ht="14.25" thickBot="1">
      <c r="A143" s="216"/>
      <c r="B143" s="217"/>
      <c r="C143" s="217"/>
      <c r="D143" s="217"/>
      <c r="E143" s="334" t="s">
        <v>64</v>
      </c>
      <c r="F143" s="368">
        <v>0</v>
      </c>
      <c r="G143" s="6"/>
      <c r="H143" s="70"/>
    </row>
    <row r="144" spans="1:8" ht="14.25" thickBot="1">
      <c r="A144" s="216"/>
      <c r="B144" s="307" t="s">
        <v>197</v>
      </c>
      <c r="C144" s="369">
        <f>granulometria!G146</f>
        <v>90.05836431226766</v>
      </c>
      <c r="D144" s="217"/>
      <c r="E144" s="217"/>
      <c r="F144" s="217"/>
      <c r="G144" s="6"/>
      <c r="H144" s="70"/>
    </row>
    <row r="145" spans="1:8" ht="14.25" thickBot="1">
      <c r="A145" s="364"/>
      <c r="B145" s="307" t="s">
        <v>80</v>
      </c>
      <c r="C145" s="369">
        <f>F134</f>
        <v>36.15958141370912</v>
      </c>
      <c r="D145" s="217"/>
      <c r="E145" s="217"/>
      <c r="F145" s="217"/>
      <c r="G145" s="6"/>
      <c r="H145" s="149"/>
    </row>
    <row r="146" spans="1:8" ht="14.25" thickBot="1">
      <c r="A146" s="216"/>
      <c r="B146" s="330" t="s">
        <v>198</v>
      </c>
      <c r="C146" s="370">
        <f>F136</f>
        <v>9.359958509621642</v>
      </c>
      <c r="D146" s="217"/>
      <c r="E146" s="217"/>
      <c r="F146" s="217"/>
      <c r="G146" s="6"/>
      <c r="H146" s="70"/>
    </row>
    <row r="147" spans="1:8" ht="13.5" thickBot="1">
      <c r="A147" s="24"/>
      <c r="B147" s="7"/>
      <c r="C147" s="7"/>
      <c r="D147" s="7"/>
      <c r="E147" s="7"/>
      <c r="F147" s="7"/>
      <c r="G147" s="7"/>
      <c r="H147" s="25"/>
    </row>
    <row r="148" spans="1:8" s="171" customFormat="1" ht="13.5" thickBot="1">
      <c r="A148" s="637" t="s">
        <v>41</v>
      </c>
      <c r="B148" s="638"/>
      <c r="C148" s="638"/>
      <c r="D148" s="638"/>
      <c r="E148" s="638"/>
      <c r="F148" s="638"/>
      <c r="G148" s="638"/>
      <c r="H148" s="639"/>
    </row>
    <row r="149" spans="1:8" ht="13.5" thickBot="1">
      <c r="A149" s="69"/>
      <c r="B149" s="6"/>
      <c r="C149" s="6"/>
      <c r="D149" s="6"/>
      <c r="E149" s="6"/>
      <c r="F149" s="6"/>
      <c r="G149" s="6"/>
      <c r="H149" s="70"/>
    </row>
    <row r="150" spans="1:8" ht="13.5" thickTop="1">
      <c r="A150" s="640" t="s">
        <v>2</v>
      </c>
      <c r="B150" s="623"/>
      <c r="C150" s="177" t="s">
        <v>3</v>
      </c>
      <c r="D150" s="6"/>
      <c r="E150" s="6"/>
      <c r="F150" s="6"/>
      <c r="G150" s="6"/>
      <c r="H150" s="70"/>
    </row>
    <row r="151" spans="1:8" ht="12.75">
      <c r="A151" s="641" t="s">
        <v>1</v>
      </c>
      <c r="B151" s="625"/>
      <c r="C151" s="178" t="s">
        <v>209</v>
      </c>
      <c r="D151" s="6"/>
      <c r="E151" s="6"/>
      <c r="F151" s="6"/>
      <c r="G151" s="6"/>
      <c r="H151" s="70"/>
    </row>
    <row r="152" spans="1:8" ht="13.5" thickBot="1">
      <c r="A152" s="642" t="s">
        <v>4</v>
      </c>
      <c r="B152" s="627"/>
      <c r="C152" s="179" t="s">
        <v>68</v>
      </c>
      <c r="D152" s="6"/>
      <c r="E152" s="6"/>
      <c r="F152" s="6"/>
      <c r="G152" s="6"/>
      <c r="H152" s="70"/>
    </row>
    <row r="153" spans="1:8" ht="13.5" thickTop="1">
      <c r="A153" s="69"/>
      <c r="B153" s="6"/>
      <c r="C153" s="6"/>
      <c r="D153" s="6"/>
      <c r="E153" s="6"/>
      <c r="F153" s="6"/>
      <c r="G153" s="6"/>
      <c r="H153" s="70"/>
    </row>
    <row r="154" spans="1:8" ht="15.75" thickBot="1">
      <c r="A154" s="310" t="s">
        <v>43</v>
      </c>
      <c r="B154" s="77"/>
      <c r="C154" s="9"/>
      <c r="D154" s="9"/>
      <c r="E154" s="9"/>
      <c r="F154" s="9"/>
      <c r="G154" s="9"/>
      <c r="H154" s="70"/>
    </row>
    <row r="155" spans="1:8" ht="13.5">
      <c r="A155" s="282" t="s">
        <v>50</v>
      </c>
      <c r="B155" s="283"/>
      <c r="C155" s="283"/>
      <c r="D155" s="290"/>
      <c r="E155" s="313">
        <v>32</v>
      </c>
      <c r="F155" s="314">
        <v>33</v>
      </c>
      <c r="G155" s="20"/>
      <c r="H155" s="70"/>
    </row>
    <row r="156" spans="1:8" ht="13.5">
      <c r="A156" s="280" t="s">
        <v>51</v>
      </c>
      <c r="B156" s="281"/>
      <c r="C156" s="281"/>
      <c r="D156" s="291"/>
      <c r="E156" s="315">
        <v>27.63</v>
      </c>
      <c r="F156" s="285">
        <v>19.81</v>
      </c>
      <c r="G156" s="12"/>
      <c r="H156" s="70"/>
    </row>
    <row r="157" spans="1:8" ht="13.5">
      <c r="A157" s="280" t="s">
        <v>52</v>
      </c>
      <c r="B157" s="281"/>
      <c r="C157" s="281"/>
      <c r="D157" s="291"/>
      <c r="E157" s="315">
        <v>24.07</v>
      </c>
      <c r="F157" s="285">
        <v>16.92</v>
      </c>
      <c r="G157" s="12"/>
      <c r="H157" s="70"/>
    </row>
    <row r="158" spans="1:8" ht="14.25" thickBot="1">
      <c r="A158" s="280" t="s">
        <v>53</v>
      </c>
      <c r="B158" s="281"/>
      <c r="C158" s="281"/>
      <c r="D158" s="291"/>
      <c r="E158" s="340">
        <v>7.58</v>
      </c>
      <c r="F158" s="286">
        <v>4.77</v>
      </c>
      <c r="G158" s="22"/>
      <c r="H158" s="70"/>
    </row>
    <row r="159" spans="1:8" ht="14.25" thickBot="1">
      <c r="A159" s="280" t="s">
        <v>54</v>
      </c>
      <c r="B159" s="281"/>
      <c r="C159" s="281"/>
      <c r="D159" s="291"/>
      <c r="E159" s="373">
        <f>E157-E158</f>
        <v>16.490000000000002</v>
      </c>
      <c r="F159" s="374">
        <f>F157-F158</f>
        <v>12.150000000000002</v>
      </c>
      <c r="G159" s="12"/>
      <c r="H159" s="70"/>
    </row>
    <row r="160" spans="1:8" ht="14.25" thickBot="1">
      <c r="A160" s="280" t="s">
        <v>55</v>
      </c>
      <c r="B160" s="281"/>
      <c r="C160" s="281"/>
      <c r="D160" s="291"/>
      <c r="E160" s="193">
        <f>E156-E157</f>
        <v>3.5599999999999987</v>
      </c>
      <c r="F160" s="295">
        <f>F156-F157</f>
        <v>2.889999999999997</v>
      </c>
      <c r="G160" s="12"/>
      <c r="H160" s="70"/>
    </row>
    <row r="161" spans="1:8" ht="14.25" thickBot="1">
      <c r="A161" s="280" t="s">
        <v>56</v>
      </c>
      <c r="B161" s="281"/>
      <c r="C161" s="281"/>
      <c r="D161" s="291"/>
      <c r="E161" s="195">
        <f>E160*100/E159</f>
        <v>21.588841722255903</v>
      </c>
      <c r="F161" s="293">
        <f>F160*100/F159</f>
        <v>23.786008230452648</v>
      </c>
      <c r="G161" s="22"/>
      <c r="H161" s="70"/>
    </row>
    <row r="162" spans="1:8" ht="14.25" thickBot="1">
      <c r="A162" s="287" t="s">
        <v>42</v>
      </c>
      <c r="B162" s="288"/>
      <c r="C162" s="288"/>
      <c r="D162" s="296"/>
      <c r="E162" s="267">
        <v>30</v>
      </c>
      <c r="F162" s="289">
        <v>20</v>
      </c>
      <c r="G162" s="12"/>
      <c r="H162" s="70"/>
    </row>
    <row r="163" spans="1:8" ht="16.5" thickBot="1">
      <c r="A163" s="81"/>
      <c r="B163" s="11"/>
      <c r="C163" s="9"/>
      <c r="D163" s="9"/>
      <c r="E163" s="12"/>
      <c r="F163" s="12"/>
      <c r="G163" s="12"/>
      <c r="H163" s="70"/>
    </row>
    <row r="164" spans="1:8" ht="13.5" thickBot="1">
      <c r="A164" s="307" t="s">
        <v>44</v>
      </c>
      <c r="B164" s="308" t="s">
        <v>45</v>
      </c>
      <c r="C164" s="308" t="s">
        <v>46</v>
      </c>
      <c r="D164" s="308" t="s">
        <v>46</v>
      </c>
      <c r="E164" s="12"/>
      <c r="F164" s="12"/>
      <c r="G164" s="12"/>
      <c r="H164" s="70"/>
    </row>
    <row r="165" spans="1:8" ht="13.5">
      <c r="A165" s="343">
        <f>E162</f>
        <v>30</v>
      </c>
      <c r="B165" s="252">
        <f>E161</f>
        <v>21.588841722255903</v>
      </c>
      <c r="C165" s="242">
        <f>B165*(A165/25)^0.121</f>
        <v>22.07040349590211</v>
      </c>
      <c r="D165" s="645">
        <f>AVERAGE(C165:C166)</f>
        <v>22.611386719181013</v>
      </c>
      <c r="E165" s="12"/>
      <c r="F165" s="12"/>
      <c r="G165" s="12"/>
      <c r="H165" s="70"/>
    </row>
    <row r="166" spans="1:8" ht="14.25" thickBot="1">
      <c r="A166" s="346">
        <f>F162</f>
        <v>20</v>
      </c>
      <c r="B166" s="255">
        <f>F161</f>
        <v>23.786008230452648</v>
      </c>
      <c r="C166" s="256">
        <f>B166*(A166/25)^0.121</f>
        <v>23.152369942459913</v>
      </c>
      <c r="D166" s="646"/>
      <c r="E166" s="12"/>
      <c r="F166" s="12"/>
      <c r="G166" s="12"/>
      <c r="H166" s="70"/>
    </row>
    <row r="167" spans="1:8" ht="14.25" thickBot="1">
      <c r="A167" s="216"/>
      <c r="B167" s="278"/>
      <c r="C167" s="309" t="s">
        <v>65</v>
      </c>
      <c r="D167" s="302"/>
      <c r="E167" s="12"/>
      <c r="F167" s="12"/>
      <c r="G167" s="12"/>
      <c r="H167" s="70"/>
    </row>
    <row r="168" spans="1:8" ht="14.25" thickBot="1">
      <c r="A168" s="216"/>
      <c r="B168" s="278"/>
      <c r="C168" s="307" t="s">
        <v>45</v>
      </c>
      <c r="D168" s="308" t="s">
        <v>47</v>
      </c>
      <c r="E168" s="12"/>
      <c r="F168" s="12"/>
      <c r="G168" s="12"/>
      <c r="H168" s="70"/>
    </row>
    <row r="169" spans="1:8" ht="13.5">
      <c r="A169" s="216"/>
      <c r="B169" s="278"/>
      <c r="C169" s="349">
        <f>B165</f>
        <v>21.588841722255903</v>
      </c>
      <c r="D169" s="350">
        <f>A165</f>
        <v>30</v>
      </c>
      <c r="E169" s="12"/>
      <c r="F169" s="12"/>
      <c r="G169" s="12"/>
      <c r="H169" s="70"/>
    </row>
    <row r="170" spans="1:8" ht="14.25" thickBot="1">
      <c r="A170" s="216"/>
      <c r="B170" s="278"/>
      <c r="C170" s="347">
        <f>B166</f>
        <v>23.786008230452648</v>
      </c>
      <c r="D170" s="348">
        <f>A166</f>
        <v>20</v>
      </c>
      <c r="E170" s="12"/>
      <c r="F170" s="12"/>
      <c r="G170" s="12"/>
      <c r="H170" s="70"/>
    </row>
    <row r="171" spans="1:8" ht="15.75">
      <c r="A171" s="81"/>
      <c r="B171" s="11"/>
      <c r="C171" s="9"/>
      <c r="D171" s="9"/>
      <c r="E171" s="12"/>
      <c r="F171" s="12"/>
      <c r="G171" s="12"/>
      <c r="H171" s="70"/>
    </row>
    <row r="172" spans="1:8" ht="15.75" thickBot="1">
      <c r="A172" s="310" t="s">
        <v>48</v>
      </c>
      <c r="B172" s="77"/>
      <c r="C172" s="9"/>
      <c r="D172" s="9"/>
      <c r="E172" s="9"/>
      <c r="F172" s="9"/>
      <c r="G172" s="9"/>
      <c r="H172" s="70"/>
    </row>
    <row r="173" spans="1:8" ht="13.5">
      <c r="A173" s="282" t="s">
        <v>50</v>
      </c>
      <c r="B173" s="311"/>
      <c r="C173" s="311"/>
      <c r="D173" s="311"/>
      <c r="E173" s="375">
        <v>0</v>
      </c>
      <c r="F173" s="376">
        <v>0</v>
      </c>
      <c r="G173" s="20"/>
      <c r="H173" s="70"/>
    </row>
    <row r="174" spans="1:8" ht="13.5">
      <c r="A174" s="280" t="s">
        <v>51</v>
      </c>
      <c r="B174" s="281"/>
      <c r="C174" s="281"/>
      <c r="D174" s="281"/>
      <c r="E174" s="377">
        <v>0</v>
      </c>
      <c r="F174" s="378">
        <v>0</v>
      </c>
      <c r="G174" s="12"/>
      <c r="H174" s="70"/>
    </row>
    <row r="175" spans="1:8" ht="13.5">
      <c r="A175" s="280" t="s">
        <v>52</v>
      </c>
      <c r="B175" s="281"/>
      <c r="C175" s="281"/>
      <c r="D175" s="281"/>
      <c r="E175" s="377">
        <v>0</v>
      </c>
      <c r="F175" s="378">
        <v>0</v>
      </c>
      <c r="G175" s="12"/>
      <c r="H175" s="70"/>
    </row>
    <row r="176" spans="1:8" ht="13.5">
      <c r="A176" s="280" t="s">
        <v>53</v>
      </c>
      <c r="B176" s="281"/>
      <c r="C176" s="281"/>
      <c r="D176" s="281"/>
      <c r="E176" s="377">
        <v>0</v>
      </c>
      <c r="F176" s="378">
        <v>0</v>
      </c>
      <c r="G176" s="12"/>
      <c r="H176" s="70"/>
    </row>
    <row r="177" spans="1:8" ht="13.5">
      <c r="A177" s="280" t="s">
        <v>54</v>
      </c>
      <c r="B177" s="281"/>
      <c r="C177" s="281"/>
      <c r="D177" s="281"/>
      <c r="E177" s="379">
        <f>E175-E176</f>
        <v>0</v>
      </c>
      <c r="F177" s="380">
        <f>F175-F176</f>
        <v>0</v>
      </c>
      <c r="G177" s="22"/>
      <c r="H177" s="70"/>
    </row>
    <row r="178" spans="1:8" ht="13.5">
      <c r="A178" s="280" t="s">
        <v>55</v>
      </c>
      <c r="B178" s="281"/>
      <c r="C178" s="281"/>
      <c r="D178" s="281"/>
      <c r="E178" s="379">
        <f>E174-E175</f>
        <v>0</v>
      </c>
      <c r="F178" s="380">
        <f>F174-F175</f>
        <v>0</v>
      </c>
      <c r="G178" s="12"/>
      <c r="H178" s="70"/>
    </row>
    <row r="179" spans="1:8" ht="14.25" thickBot="1">
      <c r="A179" s="287" t="s">
        <v>56</v>
      </c>
      <c r="B179" s="288"/>
      <c r="C179" s="288"/>
      <c r="D179" s="288"/>
      <c r="E179" s="381">
        <v>0</v>
      </c>
      <c r="F179" s="382">
        <v>0</v>
      </c>
      <c r="G179" s="22"/>
      <c r="H179" s="70"/>
    </row>
    <row r="180" spans="1:8" ht="12.75">
      <c r="A180" s="82"/>
      <c r="B180" s="9"/>
      <c r="C180" s="9"/>
      <c r="D180" s="9"/>
      <c r="E180" s="9"/>
      <c r="F180" s="9"/>
      <c r="G180" s="9"/>
      <c r="H180" s="70"/>
    </row>
    <row r="181" spans="1:8" ht="12.75">
      <c r="A181" s="82"/>
      <c r="B181" s="9"/>
      <c r="C181" s="321" t="s">
        <v>57</v>
      </c>
      <c r="D181" s="9"/>
      <c r="E181" s="9"/>
      <c r="F181" s="9"/>
      <c r="G181" s="9"/>
      <c r="H181" s="70"/>
    </row>
    <row r="182" spans="1:8" ht="12.75">
      <c r="A182" s="82"/>
      <c r="B182" s="9"/>
      <c r="C182" s="86"/>
      <c r="D182" s="9"/>
      <c r="E182" s="9"/>
      <c r="F182" s="9"/>
      <c r="G182" s="9"/>
      <c r="H182" s="70"/>
    </row>
    <row r="183" spans="1:8" ht="13.5">
      <c r="A183" s="216"/>
      <c r="B183" s="217"/>
      <c r="C183" s="322" t="s">
        <v>59</v>
      </c>
      <c r="D183" s="322"/>
      <c r="E183" s="217"/>
      <c r="F183" s="324">
        <f>D165</f>
        <v>22.611386719181013</v>
      </c>
      <c r="G183" s="365" t="s">
        <v>23</v>
      </c>
      <c r="H183" s="70"/>
    </row>
    <row r="184" spans="1:8" ht="13.5">
      <c r="A184" s="216"/>
      <c r="B184" s="217"/>
      <c r="C184" s="322" t="s">
        <v>58</v>
      </c>
      <c r="D184" s="322"/>
      <c r="E184" s="217"/>
      <c r="F184" s="324">
        <f>AVERAGE(E179:G179)</f>
        <v>0</v>
      </c>
      <c r="G184" s="365" t="s">
        <v>23</v>
      </c>
      <c r="H184" s="70"/>
    </row>
    <row r="185" spans="1:8" ht="13.5">
      <c r="A185" s="216"/>
      <c r="B185" s="217"/>
      <c r="C185" s="322" t="s">
        <v>49</v>
      </c>
      <c r="D185" s="322"/>
      <c r="E185" s="217"/>
      <c r="F185" s="324">
        <f>F183-F184</f>
        <v>22.611386719181013</v>
      </c>
      <c r="G185" s="365" t="s">
        <v>23</v>
      </c>
      <c r="H185" s="70"/>
    </row>
    <row r="186" spans="1:8" ht="13.5">
      <c r="A186" s="216"/>
      <c r="B186" s="217"/>
      <c r="C186" s="217"/>
      <c r="D186" s="217"/>
      <c r="E186" s="217"/>
      <c r="F186" s="217"/>
      <c r="G186" s="9"/>
      <c r="H186" s="70"/>
    </row>
    <row r="187" spans="1:8" ht="13.5">
      <c r="A187" s="325" t="s">
        <v>60</v>
      </c>
      <c r="B187" s="217"/>
      <c r="C187" s="217"/>
      <c r="D187" s="217"/>
      <c r="E187" s="217"/>
      <c r="F187" s="217"/>
      <c r="G187" s="6"/>
      <c r="H187" s="70"/>
    </row>
    <row r="188" spans="1:8" ht="14.25" thickBot="1">
      <c r="A188" s="216"/>
      <c r="B188" s="217"/>
      <c r="C188" s="217"/>
      <c r="D188" s="217"/>
      <c r="E188" s="217"/>
      <c r="F188" s="217"/>
      <c r="G188" s="6"/>
      <c r="H188" s="70"/>
    </row>
    <row r="189" spans="1:8" ht="14.25" thickBot="1">
      <c r="A189" s="216"/>
      <c r="B189" s="217"/>
      <c r="C189" s="217"/>
      <c r="D189" s="217"/>
      <c r="E189" s="332" t="s">
        <v>61</v>
      </c>
      <c r="F189" s="335">
        <f>C193-35</f>
        <v>39.892426850258175</v>
      </c>
      <c r="G189" s="6"/>
      <c r="H189" s="70"/>
    </row>
    <row r="190" spans="1:8" ht="14.25" thickBot="1">
      <c r="A190" s="385" t="s">
        <v>169</v>
      </c>
      <c r="B190" s="384">
        <f>(0.2*F189)+(0.005*F189*F191)+(0.01*F190*F192)</f>
        <v>7.978485370051636</v>
      </c>
      <c r="C190" s="295">
        <v>8</v>
      </c>
      <c r="D190" s="217"/>
      <c r="E190" s="333" t="s">
        <v>62</v>
      </c>
      <c r="F190" s="336">
        <f>C193-15</f>
        <v>59.892426850258175</v>
      </c>
      <c r="G190" s="6"/>
      <c r="H190" s="70"/>
    </row>
    <row r="191" spans="1:8" ht="13.5">
      <c r="A191" s="326"/>
      <c r="B191" s="359"/>
      <c r="C191" s="359"/>
      <c r="D191" s="217"/>
      <c r="E191" s="333" t="s">
        <v>63</v>
      </c>
      <c r="F191" s="336">
        <v>0</v>
      </c>
      <c r="G191" s="6"/>
      <c r="H191" s="70"/>
    </row>
    <row r="192" spans="1:8" ht="14.25" thickBot="1">
      <c r="A192" s="216"/>
      <c r="B192" s="217"/>
      <c r="C192" s="217"/>
      <c r="D192" s="217"/>
      <c r="E192" s="334" t="s">
        <v>64</v>
      </c>
      <c r="F192" s="368">
        <v>0</v>
      </c>
      <c r="G192" s="6"/>
      <c r="H192" s="70"/>
    </row>
    <row r="193" spans="1:8" ht="14.25" thickBot="1">
      <c r="A193" s="216"/>
      <c r="B193" s="386" t="s">
        <v>197</v>
      </c>
      <c r="C193" s="198">
        <f>granulometria!G196</f>
        <v>74.89242685025818</v>
      </c>
      <c r="D193" s="217"/>
      <c r="E193" s="217"/>
      <c r="F193" s="217"/>
      <c r="G193" s="6"/>
      <c r="H193" s="70"/>
    </row>
    <row r="194" spans="1:8" ht="14.25" thickBot="1">
      <c r="A194" s="364"/>
      <c r="B194" s="386" t="s">
        <v>80</v>
      </c>
      <c r="C194" s="198">
        <f>F183</f>
        <v>22.611386719181013</v>
      </c>
      <c r="D194" s="217"/>
      <c r="E194" s="217"/>
      <c r="F194" s="217"/>
      <c r="G194" s="6"/>
      <c r="H194" s="70"/>
    </row>
    <row r="195" spans="1:8" ht="14.25" thickBot="1">
      <c r="A195" s="216"/>
      <c r="B195" s="387" t="s">
        <v>198</v>
      </c>
      <c r="C195" s="195">
        <f>F185</f>
        <v>22.611386719181013</v>
      </c>
      <c r="D195" s="217"/>
      <c r="E195" s="217"/>
      <c r="F195" s="217"/>
      <c r="G195" s="6"/>
      <c r="H195" s="70"/>
    </row>
    <row r="196" spans="1:8" ht="12.75">
      <c r="A196" s="69"/>
      <c r="B196" s="6"/>
      <c r="C196" s="6"/>
      <c r="D196" s="6"/>
      <c r="E196" s="6"/>
      <c r="F196" s="6"/>
      <c r="G196" s="6"/>
      <c r="H196" s="70"/>
    </row>
    <row r="197" spans="1:8" ht="13.5" thickBot="1">
      <c r="A197" s="24"/>
      <c r="B197" s="7"/>
      <c r="C197" s="7"/>
      <c r="D197" s="7"/>
      <c r="E197" s="7"/>
      <c r="F197" s="7"/>
      <c r="G197" s="7"/>
      <c r="H197" s="25"/>
    </row>
    <row r="198" spans="1:8" s="171" customFormat="1" ht="13.5" thickBot="1">
      <c r="A198" s="637" t="s">
        <v>41</v>
      </c>
      <c r="B198" s="638"/>
      <c r="C198" s="638"/>
      <c r="D198" s="638"/>
      <c r="E198" s="638"/>
      <c r="F198" s="638"/>
      <c r="G198" s="638"/>
      <c r="H198" s="639"/>
    </row>
    <row r="199" spans="1:8" ht="13.5" thickBot="1">
      <c r="A199" s="69"/>
      <c r="B199" s="6"/>
      <c r="C199" s="6"/>
      <c r="D199" s="6"/>
      <c r="E199" s="6"/>
      <c r="F199" s="6"/>
      <c r="G199" s="6"/>
      <c r="H199" s="70"/>
    </row>
    <row r="200" spans="1:8" ht="13.5" thickTop="1">
      <c r="A200" s="640" t="s">
        <v>2</v>
      </c>
      <c r="B200" s="623"/>
      <c r="C200" s="177" t="s">
        <v>3</v>
      </c>
      <c r="D200" s="6"/>
      <c r="E200" s="6"/>
      <c r="F200" s="6"/>
      <c r="G200" s="6"/>
      <c r="H200" s="70"/>
    </row>
    <row r="201" spans="1:8" ht="12.75">
      <c r="A201" s="641" t="s">
        <v>1</v>
      </c>
      <c r="B201" s="625"/>
      <c r="C201" s="178" t="s">
        <v>210</v>
      </c>
      <c r="D201" s="6"/>
      <c r="E201" s="6"/>
      <c r="F201" s="6"/>
      <c r="G201" s="6"/>
      <c r="H201" s="70"/>
    </row>
    <row r="202" spans="1:8" ht="13.5" thickBot="1">
      <c r="A202" s="642" t="s">
        <v>4</v>
      </c>
      <c r="B202" s="627"/>
      <c r="C202" s="179" t="s">
        <v>69</v>
      </c>
      <c r="D202" s="6"/>
      <c r="E202" s="71"/>
      <c r="F202" s="71"/>
      <c r="G202" s="6"/>
      <c r="H202" s="70"/>
    </row>
    <row r="203" spans="1:8" ht="13.5" thickTop="1">
      <c r="A203" s="69"/>
      <c r="B203" s="6"/>
      <c r="C203" s="6"/>
      <c r="D203" s="6"/>
      <c r="E203" s="6"/>
      <c r="F203" s="6"/>
      <c r="G203" s="6"/>
      <c r="H203" s="70"/>
    </row>
    <row r="204" spans="1:8" ht="15.75" thickBot="1">
      <c r="A204" s="310" t="s">
        <v>43</v>
      </c>
      <c r="B204" s="77"/>
      <c r="C204" s="9"/>
      <c r="D204" s="9"/>
      <c r="E204" s="9"/>
      <c r="F204" s="9"/>
      <c r="G204" s="9"/>
      <c r="H204" s="70"/>
    </row>
    <row r="205" spans="1:8" ht="13.5">
      <c r="A205" s="282" t="s">
        <v>50</v>
      </c>
      <c r="B205" s="283"/>
      <c r="C205" s="283"/>
      <c r="D205" s="283"/>
      <c r="E205" s="388">
        <v>34</v>
      </c>
      <c r="F205" s="284">
        <v>35</v>
      </c>
      <c r="G205" s="20"/>
      <c r="H205" s="70"/>
    </row>
    <row r="206" spans="1:8" ht="13.5">
      <c r="A206" s="280" t="s">
        <v>51</v>
      </c>
      <c r="B206" s="281"/>
      <c r="C206" s="281"/>
      <c r="D206" s="281"/>
      <c r="E206" s="315">
        <v>32.22</v>
      </c>
      <c r="F206" s="285">
        <v>27.39</v>
      </c>
      <c r="G206" s="12"/>
      <c r="H206" s="70"/>
    </row>
    <row r="207" spans="1:8" ht="13.5">
      <c r="A207" s="280" t="s">
        <v>52</v>
      </c>
      <c r="B207" s="281"/>
      <c r="C207" s="281"/>
      <c r="D207" s="281"/>
      <c r="E207" s="315">
        <v>29.32</v>
      </c>
      <c r="F207" s="285">
        <v>25.28</v>
      </c>
      <c r="G207" s="12"/>
      <c r="H207" s="70"/>
    </row>
    <row r="208" spans="1:8" ht="14.25" thickBot="1">
      <c r="A208" s="280" t="s">
        <v>53</v>
      </c>
      <c r="B208" s="281"/>
      <c r="C208" s="281"/>
      <c r="D208" s="281"/>
      <c r="E208" s="340">
        <v>15.02</v>
      </c>
      <c r="F208" s="286">
        <v>15.83</v>
      </c>
      <c r="G208" s="22"/>
      <c r="H208" s="70"/>
    </row>
    <row r="209" spans="1:8" ht="14.25" thickBot="1">
      <c r="A209" s="280" t="s">
        <v>54</v>
      </c>
      <c r="B209" s="281"/>
      <c r="C209" s="281"/>
      <c r="D209" s="281"/>
      <c r="E209" s="371">
        <f>E207-E208</f>
        <v>14.3</v>
      </c>
      <c r="F209" s="372">
        <f>F207-F208</f>
        <v>9.450000000000001</v>
      </c>
      <c r="G209" s="12"/>
      <c r="H209" s="70"/>
    </row>
    <row r="210" spans="1:8" ht="14.25" thickBot="1">
      <c r="A210" s="280" t="s">
        <v>55</v>
      </c>
      <c r="B210" s="281"/>
      <c r="C210" s="281"/>
      <c r="D210" s="281"/>
      <c r="E210" s="244">
        <f>E206-E207</f>
        <v>2.8999999999999986</v>
      </c>
      <c r="F210" s="319">
        <f>F206-F207</f>
        <v>2.1099999999999994</v>
      </c>
      <c r="G210" s="12"/>
      <c r="H210" s="70"/>
    </row>
    <row r="211" spans="1:8" ht="14.25" thickBot="1">
      <c r="A211" s="280" t="s">
        <v>56</v>
      </c>
      <c r="B211" s="281"/>
      <c r="C211" s="281"/>
      <c r="D211" s="281"/>
      <c r="E211" s="246">
        <f>E210*100/E209</f>
        <v>20.27972027972027</v>
      </c>
      <c r="F211" s="320">
        <f>F210*100/F209</f>
        <v>22.32804232804232</v>
      </c>
      <c r="G211" s="22"/>
      <c r="H211" s="70"/>
    </row>
    <row r="212" spans="1:8" ht="14.25" thickBot="1">
      <c r="A212" s="287" t="s">
        <v>42</v>
      </c>
      <c r="B212" s="288"/>
      <c r="C212" s="288"/>
      <c r="D212" s="288"/>
      <c r="E212" s="267">
        <v>30</v>
      </c>
      <c r="F212" s="289">
        <v>20</v>
      </c>
      <c r="G212" s="12"/>
      <c r="H212" s="70"/>
    </row>
    <row r="213" spans="1:8" ht="18" thickBot="1">
      <c r="A213" s="341"/>
      <c r="B213" s="342"/>
      <c r="C213" s="217"/>
      <c r="D213" s="217"/>
      <c r="E213" s="262"/>
      <c r="F213" s="262"/>
      <c r="G213" s="12"/>
      <c r="H213" s="70"/>
    </row>
    <row r="214" spans="1:8" ht="14.25" thickBot="1">
      <c r="A214" s="307" t="s">
        <v>44</v>
      </c>
      <c r="B214" s="308" t="s">
        <v>45</v>
      </c>
      <c r="C214" s="308" t="s">
        <v>46</v>
      </c>
      <c r="D214" s="308" t="s">
        <v>46</v>
      </c>
      <c r="E214" s="262"/>
      <c r="F214" s="262"/>
      <c r="G214" s="12"/>
      <c r="H214" s="70"/>
    </row>
    <row r="215" spans="1:8" ht="13.5">
      <c r="A215" s="343">
        <f>E212</f>
        <v>30</v>
      </c>
      <c r="B215" s="252">
        <f>E211</f>
        <v>20.27972027972027</v>
      </c>
      <c r="C215" s="252">
        <f>B215*(A215/25)^0.121</f>
        <v>20.732080725574264</v>
      </c>
      <c r="D215" s="647">
        <f>AVERAGE(C215:C216)</f>
        <v>21.232661845914024</v>
      </c>
      <c r="E215" s="262"/>
      <c r="F215" s="262"/>
      <c r="G215" s="12"/>
      <c r="H215" s="70"/>
    </row>
    <row r="216" spans="1:8" ht="13.5">
      <c r="A216" s="343">
        <f>F212</f>
        <v>20</v>
      </c>
      <c r="B216" s="252">
        <f>F211</f>
        <v>22.32804232804232</v>
      </c>
      <c r="C216" s="252">
        <f>B216*(A216/25)^0.121</f>
        <v>21.733242966253783</v>
      </c>
      <c r="D216" s="648"/>
      <c r="E216" s="262"/>
      <c r="F216" s="262"/>
      <c r="G216" s="12"/>
      <c r="H216" s="70"/>
    </row>
    <row r="217" spans="1:8" ht="14.25" thickBot="1">
      <c r="A217" s="216"/>
      <c r="B217" s="278"/>
      <c r="C217" s="389" t="s">
        <v>65</v>
      </c>
      <c r="D217" s="251"/>
      <c r="E217" s="262"/>
      <c r="F217" s="262"/>
      <c r="G217" s="12"/>
      <c r="H217" s="70"/>
    </row>
    <row r="218" spans="1:8" ht="14.25" thickBot="1">
      <c r="A218" s="216"/>
      <c r="B218" s="278"/>
      <c r="C218" s="307" t="s">
        <v>45</v>
      </c>
      <c r="D218" s="308" t="s">
        <v>47</v>
      </c>
      <c r="E218" s="262"/>
      <c r="F218" s="262"/>
      <c r="G218" s="12"/>
      <c r="H218" s="70"/>
    </row>
    <row r="219" spans="1:8" ht="13.5">
      <c r="A219" s="216"/>
      <c r="B219" s="278"/>
      <c r="C219" s="252">
        <f>B215</f>
        <v>20.27972027972027</v>
      </c>
      <c r="D219" s="344">
        <f>A215</f>
        <v>30</v>
      </c>
      <c r="E219" s="262"/>
      <c r="F219" s="262"/>
      <c r="G219" s="12"/>
      <c r="H219" s="70"/>
    </row>
    <row r="220" spans="1:8" ht="13.5">
      <c r="A220" s="216"/>
      <c r="B220" s="278"/>
      <c r="C220" s="252">
        <f>B216</f>
        <v>22.32804232804232</v>
      </c>
      <c r="D220" s="344">
        <f>A216</f>
        <v>20</v>
      </c>
      <c r="E220" s="262"/>
      <c r="F220" s="262"/>
      <c r="G220" s="12"/>
      <c r="H220" s="70"/>
    </row>
    <row r="221" spans="1:8" ht="15.75">
      <c r="A221" s="81"/>
      <c r="B221" s="11"/>
      <c r="C221" s="9"/>
      <c r="D221" s="9"/>
      <c r="E221" s="12"/>
      <c r="F221" s="12"/>
      <c r="G221" s="12"/>
      <c r="H221" s="70"/>
    </row>
    <row r="222" spans="1:8" ht="15.75" thickBot="1">
      <c r="A222" s="310" t="s">
        <v>48</v>
      </c>
      <c r="B222" s="77"/>
      <c r="C222" s="9"/>
      <c r="D222" s="9"/>
      <c r="E222" s="9"/>
      <c r="F222" s="9"/>
      <c r="G222" s="9"/>
      <c r="H222" s="70"/>
    </row>
    <row r="223" spans="1:8" ht="13.5">
      <c r="A223" s="282" t="s">
        <v>50</v>
      </c>
      <c r="B223" s="311"/>
      <c r="C223" s="311"/>
      <c r="D223" s="312"/>
      <c r="E223" s="388">
        <v>36</v>
      </c>
      <c r="F223" s="284">
        <v>37</v>
      </c>
      <c r="G223" s="20"/>
      <c r="H223" s="70"/>
    </row>
    <row r="224" spans="1:8" ht="13.5">
      <c r="A224" s="280" t="s">
        <v>51</v>
      </c>
      <c r="B224" s="281"/>
      <c r="C224" s="281"/>
      <c r="D224" s="291"/>
      <c r="E224" s="315">
        <v>20.41</v>
      </c>
      <c r="F224" s="285">
        <v>19.78</v>
      </c>
      <c r="G224" s="12"/>
      <c r="H224" s="70"/>
    </row>
    <row r="225" spans="1:8" ht="13.5">
      <c r="A225" s="280" t="s">
        <v>52</v>
      </c>
      <c r="B225" s="281"/>
      <c r="C225" s="281"/>
      <c r="D225" s="291"/>
      <c r="E225" s="315">
        <v>19.99</v>
      </c>
      <c r="F225" s="316">
        <v>19.27</v>
      </c>
      <c r="G225" s="12"/>
      <c r="H225" s="70"/>
    </row>
    <row r="226" spans="1:8" ht="14.25" thickBot="1">
      <c r="A226" s="280" t="s">
        <v>53</v>
      </c>
      <c r="B226" s="281"/>
      <c r="C226" s="281"/>
      <c r="D226" s="291"/>
      <c r="E226" s="355">
        <v>17.04</v>
      </c>
      <c r="F226" s="286">
        <v>16.53</v>
      </c>
      <c r="G226" s="12"/>
      <c r="H226" s="70"/>
    </row>
    <row r="227" spans="1:8" ht="14.25" thickBot="1">
      <c r="A227" s="280" t="s">
        <v>54</v>
      </c>
      <c r="B227" s="281"/>
      <c r="C227" s="281"/>
      <c r="D227" s="291"/>
      <c r="E227" s="198">
        <f>E225-E226</f>
        <v>2.9499999999999993</v>
      </c>
      <c r="F227" s="294">
        <f>F225-F226</f>
        <v>2.7399999999999984</v>
      </c>
      <c r="G227" s="22"/>
      <c r="H227" s="70"/>
    </row>
    <row r="228" spans="1:8" ht="14.25" thickBot="1">
      <c r="A228" s="280" t="s">
        <v>55</v>
      </c>
      <c r="B228" s="281"/>
      <c r="C228" s="281"/>
      <c r="D228" s="291"/>
      <c r="E228" s="193">
        <f>E224-E225</f>
        <v>0.4200000000000017</v>
      </c>
      <c r="F228" s="294">
        <f>F224-F225</f>
        <v>0.5100000000000016</v>
      </c>
      <c r="G228" s="12"/>
      <c r="H228" s="70"/>
    </row>
    <row r="229" spans="1:8" ht="14.25" thickBot="1">
      <c r="A229" s="287" t="s">
        <v>56</v>
      </c>
      <c r="B229" s="288"/>
      <c r="C229" s="288"/>
      <c r="D229" s="296"/>
      <c r="E229" s="195">
        <f>E228*100/E227</f>
        <v>14.237288135593282</v>
      </c>
      <c r="F229" s="293">
        <f>F228*100/F227</f>
        <v>18.613138686131453</v>
      </c>
      <c r="G229" s="22"/>
      <c r="H229" s="70"/>
    </row>
    <row r="230" spans="1:8" ht="12.75">
      <c r="A230" s="82"/>
      <c r="B230" s="9"/>
      <c r="C230" s="9"/>
      <c r="D230" s="9"/>
      <c r="E230" s="9"/>
      <c r="F230" s="9"/>
      <c r="G230" s="9"/>
      <c r="H230" s="70"/>
    </row>
    <row r="231" spans="1:8" ht="12.75">
      <c r="A231" s="82"/>
      <c r="B231" s="9"/>
      <c r="C231" s="321" t="s">
        <v>57</v>
      </c>
      <c r="D231" s="9"/>
      <c r="E231" s="9"/>
      <c r="F231" s="9"/>
      <c r="G231" s="9"/>
      <c r="H231" s="70"/>
    </row>
    <row r="232" spans="1:8" ht="12.75">
      <c r="A232" s="82"/>
      <c r="B232" s="9"/>
      <c r="C232" s="86"/>
      <c r="D232" s="9"/>
      <c r="E232" s="9"/>
      <c r="F232" s="9"/>
      <c r="G232" s="9"/>
      <c r="H232" s="70"/>
    </row>
    <row r="233" spans="1:8" ht="13.5">
      <c r="A233" s="216"/>
      <c r="B233" s="217"/>
      <c r="C233" s="322" t="s">
        <v>59</v>
      </c>
      <c r="D233" s="322"/>
      <c r="E233" s="217"/>
      <c r="F233" s="324">
        <f>D215</f>
        <v>21.232661845914024</v>
      </c>
      <c r="G233" s="390" t="s">
        <v>23</v>
      </c>
      <c r="H233" s="70"/>
    </row>
    <row r="234" spans="1:8" ht="13.5">
      <c r="A234" s="216"/>
      <c r="B234" s="217"/>
      <c r="C234" s="322" t="s">
        <v>58</v>
      </c>
      <c r="D234" s="322"/>
      <c r="E234" s="217"/>
      <c r="F234" s="324">
        <f>AVERAGE(E229:G229)</f>
        <v>16.42521341086237</v>
      </c>
      <c r="G234" s="390" t="s">
        <v>23</v>
      </c>
      <c r="H234" s="70"/>
    </row>
    <row r="235" spans="1:8" ht="13.5">
      <c r="A235" s="216"/>
      <c r="B235" s="217"/>
      <c r="C235" s="322" t="s">
        <v>49</v>
      </c>
      <c r="D235" s="322"/>
      <c r="E235" s="217"/>
      <c r="F235" s="324">
        <f>F233-F234</f>
        <v>4.807448435051654</v>
      </c>
      <c r="G235" s="390" t="s">
        <v>23</v>
      </c>
      <c r="H235" s="70"/>
    </row>
    <row r="236" spans="1:8" ht="13.5">
      <c r="A236" s="216"/>
      <c r="B236" s="217"/>
      <c r="C236" s="217"/>
      <c r="D236" s="217"/>
      <c r="E236" s="217"/>
      <c r="F236" s="217"/>
      <c r="G236" s="217"/>
      <c r="H236" s="70"/>
    </row>
    <row r="237" spans="1:8" ht="13.5">
      <c r="A237" s="325" t="s">
        <v>60</v>
      </c>
      <c r="B237" s="217"/>
      <c r="C237" s="217"/>
      <c r="D237" s="217"/>
      <c r="E237" s="217"/>
      <c r="F237" s="217"/>
      <c r="G237" s="217"/>
      <c r="H237" s="70"/>
    </row>
    <row r="238" spans="1:8" ht="14.25" thickBot="1">
      <c r="A238" s="216"/>
      <c r="B238" s="217"/>
      <c r="C238" s="217"/>
      <c r="D238" s="217"/>
      <c r="E238" s="217"/>
      <c r="F238" s="217"/>
      <c r="G238" s="217"/>
      <c r="H238" s="70"/>
    </row>
    <row r="239" spans="1:8" ht="14.25" thickBot="1">
      <c r="A239" s="216"/>
      <c r="B239" s="217"/>
      <c r="C239" s="217"/>
      <c r="D239" s="217"/>
      <c r="E239" s="332" t="s">
        <v>61</v>
      </c>
      <c r="F239" s="335">
        <f>C243-35</f>
        <v>-1.4464226289517654</v>
      </c>
      <c r="G239" s="217"/>
      <c r="H239" s="70"/>
    </row>
    <row r="240" spans="1:8" ht="14.25" thickBot="1">
      <c r="A240" s="339" t="s">
        <v>169</v>
      </c>
      <c r="B240" s="264">
        <f>(0.2*F239)+(0.005*F239*F241)+(0.01*F240*F242)</f>
        <v>-0.2892845257903531</v>
      </c>
      <c r="C240" s="367">
        <f>B240</f>
        <v>-0.2892845257903531</v>
      </c>
      <c r="D240" s="217"/>
      <c r="E240" s="333" t="s">
        <v>62</v>
      </c>
      <c r="F240" s="336">
        <f>C243-15</f>
        <v>18.553577371048235</v>
      </c>
      <c r="G240" s="217"/>
      <c r="H240" s="70"/>
    </row>
    <row r="241" spans="1:8" ht="13.5">
      <c r="A241" s="359"/>
      <c r="B241" s="359"/>
      <c r="C241" s="359"/>
      <c r="D241" s="217"/>
      <c r="E241" s="333" t="s">
        <v>63</v>
      </c>
      <c r="F241" s="336">
        <v>0</v>
      </c>
      <c r="G241" s="217"/>
      <c r="H241" s="70"/>
    </row>
    <row r="242" spans="1:8" ht="14.25" thickBot="1">
      <c r="A242" s="216"/>
      <c r="B242" s="217"/>
      <c r="C242" s="217"/>
      <c r="D242" s="217"/>
      <c r="E242" s="334" t="s">
        <v>64</v>
      </c>
      <c r="F242" s="368">
        <v>0</v>
      </c>
      <c r="G242" s="217"/>
      <c r="H242" s="70"/>
    </row>
    <row r="243" spans="1:8" ht="14.25" thickBot="1">
      <c r="A243" s="216"/>
      <c r="B243" s="386" t="s">
        <v>197</v>
      </c>
      <c r="C243" s="391">
        <f>granulometria!G246</f>
        <v>33.553577371048235</v>
      </c>
      <c r="D243" s="217"/>
      <c r="E243" s="217"/>
      <c r="F243" s="217"/>
      <c r="G243" s="217"/>
      <c r="H243" s="70"/>
    </row>
    <row r="244" spans="1:8" ht="14.25" thickBot="1">
      <c r="A244" s="364"/>
      <c r="B244" s="386" t="s">
        <v>80</v>
      </c>
      <c r="C244" s="198">
        <f>F233</f>
        <v>21.232661845914024</v>
      </c>
      <c r="D244" s="217"/>
      <c r="E244" s="217"/>
      <c r="F244" s="217"/>
      <c r="G244" s="217"/>
      <c r="H244" s="70"/>
    </row>
    <row r="245" spans="1:8" ht="14.25" thickBot="1">
      <c r="A245" s="216"/>
      <c r="B245" s="387" t="s">
        <v>198</v>
      </c>
      <c r="C245" s="195">
        <f>F235</f>
        <v>4.807448435051654</v>
      </c>
      <c r="D245" s="217"/>
      <c r="E245" s="217"/>
      <c r="F245" s="217"/>
      <c r="G245" s="217"/>
      <c r="H245" s="70"/>
    </row>
    <row r="246" spans="1:8" ht="12.75">
      <c r="A246" s="69"/>
      <c r="B246" s="6"/>
      <c r="C246" s="6"/>
      <c r="D246" s="6"/>
      <c r="E246" s="6"/>
      <c r="F246" s="6"/>
      <c r="G246" s="6"/>
      <c r="H246" s="70"/>
    </row>
    <row r="247" spans="1:8" ht="13.5" thickBot="1">
      <c r="A247" s="24"/>
      <c r="B247" s="7"/>
      <c r="C247" s="7"/>
      <c r="D247" s="7"/>
      <c r="E247" s="7"/>
      <c r="F247" s="7"/>
      <c r="G247" s="7"/>
      <c r="H247" s="25"/>
    </row>
    <row r="248" spans="1:8" s="171" customFormat="1" ht="13.5" thickBot="1">
      <c r="A248" s="637" t="s">
        <v>41</v>
      </c>
      <c r="B248" s="638"/>
      <c r="C248" s="638"/>
      <c r="D248" s="638"/>
      <c r="E248" s="638"/>
      <c r="F248" s="638"/>
      <c r="G248" s="638"/>
      <c r="H248" s="639"/>
    </row>
    <row r="249" spans="1:8" ht="13.5" thickBot="1">
      <c r="A249" s="69"/>
      <c r="B249" s="6"/>
      <c r="C249" s="6"/>
      <c r="D249" s="6"/>
      <c r="E249" s="6"/>
      <c r="F249" s="6"/>
      <c r="G249" s="6"/>
      <c r="H249" s="70"/>
    </row>
    <row r="250" spans="1:8" ht="13.5" thickTop="1">
      <c r="A250" s="640" t="s">
        <v>2</v>
      </c>
      <c r="B250" s="623"/>
      <c r="C250" s="177" t="s">
        <v>3</v>
      </c>
      <c r="D250" s="6"/>
      <c r="E250" s="6"/>
      <c r="F250" s="6"/>
      <c r="G250" s="6"/>
      <c r="H250" s="70"/>
    </row>
    <row r="251" spans="1:8" ht="12.75">
      <c r="A251" s="641" t="s">
        <v>1</v>
      </c>
      <c r="B251" s="625"/>
      <c r="C251" s="178" t="s">
        <v>211</v>
      </c>
      <c r="D251" s="6"/>
      <c r="E251" s="6"/>
      <c r="F251" s="6"/>
      <c r="G251" s="6"/>
      <c r="H251" s="70"/>
    </row>
    <row r="252" spans="1:8" ht="13.5" thickBot="1">
      <c r="A252" s="642" t="s">
        <v>4</v>
      </c>
      <c r="B252" s="627"/>
      <c r="C252" s="179" t="s">
        <v>70</v>
      </c>
      <c r="D252" s="6"/>
      <c r="G252" s="6"/>
      <c r="H252" s="70"/>
    </row>
    <row r="253" spans="1:8" ht="13.5" thickTop="1">
      <c r="A253" s="69"/>
      <c r="B253" s="6"/>
      <c r="C253" s="6"/>
      <c r="D253" s="6"/>
      <c r="E253" s="6"/>
      <c r="F253" s="6"/>
      <c r="G253" s="6"/>
      <c r="H253" s="70"/>
    </row>
    <row r="254" spans="1:8" ht="15.75" thickBot="1">
      <c r="A254" s="310" t="s">
        <v>43</v>
      </c>
      <c r="B254" s="77"/>
      <c r="C254" s="9"/>
      <c r="D254" s="9"/>
      <c r="E254" s="9"/>
      <c r="F254" s="9"/>
      <c r="G254" s="9"/>
      <c r="H254" s="70"/>
    </row>
    <row r="255" spans="1:8" ht="13.5">
      <c r="A255" s="282" t="s">
        <v>50</v>
      </c>
      <c r="B255" s="283"/>
      <c r="C255" s="283"/>
      <c r="D255" s="290"/>
      <c r="E255" s="313">
        <v>38</v>
      </c>
      <c r="F255" s="314">
        <v>39</v>
      </c>
      <c r="G255" s="20"/>
      <c r="H255" s="70"/>
    </row>
    <row r="256" spans="1:8" ht="13.5">
      <c r="A256" s="280" t="s">
        <v>51</v>
      </c>
      <c r="B256" s="281"/>
      <c r="C256" s="281"/>
      <c r="D256" s="291"/>
      <c r="E256" s="315">
        <v>35.15</v>
      </c>
      <c r="F256" s="285">
        <v>40.57</v>
      </c>
      <c r="G256" s="12"/>
      <c r="H256" s="70"/>
    </row>
    <row r="257" spans="1:8" ht="13.5">
      <c r="A257" s="280" t="s">
        <v>52</v>
      </c>
      <c r="B257" s="281"/>
      <c r="C257" s="281"/>
      <c r="D257" s="291"/>
      <c r="E257" s="315">
        <v>31.2</v>
      </c>
      <c r="F257" s="285">
        <v>35.38</v>
      </c>
      <c r="G257" s="12"/>
      <c r="H257" s="70"/>
    </row>
    <row r="258" spans="1:8" ht="14.25" thickBot="1">
      <c r="A258" s="280" t="s">
        <v>53</v>
      </c>
      <c r="B258" s="281"/>
      <c r="C258" s="281"/>
      <c r="D258" s="291"/>
      <c r="E258" s="340">
        <v>15.44</v>
      </c>
      <c r="F258" s="286">
        <v>16.54</v>
      </c>
      <c r="G258" s="22"/>
      <c r="H258" s="70"/>
    </row>
    <row r="259" spans="1:8" ht="14.25" thickBot="1">
      <c r="A259" s="280" t="s">
        <v>54</v>
      </c>
      <c r="B259" s="281"/>
      <c r="C259" s="281"/>
      <c r="D259" s="291"/>
      <c r="E259" s="373">
        <f>E257-E258</f>
        <v>15.76</v>
      </c>
      <c r="F259" s="374">
        <f>F257-F258</f>
        <v>18.840000000000003</v>
      </c>
      <c r="G259" s="12"/>
      <c r="H259" s="70"/>
    </row>
    <row r="260" spans="1:8" ht="14.25" thickBot="1">
      <c r="A260" s="280" t="s">
        <v>55</v>
      </c>
      <c r="B260" s="281"/>
      <c r="C260" s="281"/>
      <c r="D260" s="291"/>
      <c r="E260" s="193">
        <f>E256-E257</f>
        <v>3.9499999999999993</v>
      </c>
      <c r="F260" s="295">
        <f>F256-F257</f>
        <v>5.189999999999998</v>
      </c>
      <c r="G260" s="12"/>
      <c r="H260" s="70"/>
    </row>
    <row r="261" spans="1:8" ht="14.25" thickBot="1">
      <c r="A261" s="280" t="s">
        <v>56</v>
      </c>
      <c r="B261" s="281"/>
      <c r="C261" s="281"/>
      <c r="D261" s="291"/>
      <c r="E261" s="195">
        <f>E260*100/E259</f>
        <v>25.063451776649742</v>
      </c>
      <c r="F261" s="293">
        <f>F260*100/F259</f>
        <v>27.547770700636924</v>
      </c>
      <c r="G261" s="22"/>
      <c r="H261" s="70"/>
    </row>
    <row r="262" spans="1:8" ht="14.25" thickBot="1">
      <c r="A262" s="287" t="s">
        <v>42</v>
      </c>
      <c r="B262" s="288"/>
      <c r="C262" s="288"/>
      <c r="D262" s="296"/>
      <c r="E262" s="267">
        <v>34</v>
      </c>
      <c r="F262" s="289">
        <v>21</v>
      </c>
      <c r="G262" s="12"/>
      <c r="H262" s="70"/>
    </row>
    <row r="263" spans="1:8" ht="18" thickBot="1">
      <c r="A263" s="341"/>
      <c r="B263" s="342"/>
      <c r="C263" s="217"/>
      <c r="D263" s="217"/>
      <c r="E263" s="262"/>
      <c r="F263" s="262"/>
      <c r="G263" s="12"/>
      <c r="H263" s="70"/>
    </row>
    <row r="264" spans="1:8" ht="14.25" thickBot="1">
      <c r="A264" s="307" t="s">
        <v>44</v>
      </c>
      <c r="B264" s="308" t="s">
        <v>45</v>
      </c>
      <c r="C264" s="308" t="s">
        <v>46</v>
      </c>
      <c r="D264" s="308" t="s">
        <v>46</v>
      </c>
      <c r="E264" s="262"/>
      <c r="F264" s="262"/>
      <c r="G264" s="12"/>
      <c r="H264" s="70"/>
    </row>
    <row r="265" spans="1:8" ht="13.5">
      <c r="A265" s="343">
        <f>E262</f>
        <v>34</v>
      </c>
      <c r="B265" s="252">
        <f>E261</f>
        <v>25.063451776649742</v>
      </c>
      <c r="C265" s="252">
        <f>B265*(A265/25)^0.121</f>
        <v>26.013518082089803</v>
      </c>
      <c r="D265" s="647">
        <f>AVERAGE(C265:C266)</f>
        <v>26.493103792126192</v>
      </c>
      <c r="E265" s="262"/>
      <c r="F265" s="262"/>
      <c r="G265" s="12"/>
      <c r="H265" s="70"/>
    </row>
    <row r="266" spans="1:8" ht="13.5">
      <c r="A266" s="343">
        <f>F262</f>
        <v>21</v>
      </c>
      <c r="B266" s="252">
        <f>F261</f>
        <v>27.547770700636924</v>
      </c>
      <c r="C266" s="252">
        <f>B266*(A266/25)^0.121</f>
        <v>26.97268950216258</v>
      </c>
      <c r="D266" s="648"/>
      <c r="E266" s="262"/>
      <c r="F266" s="262"/>
      <c r="G266" s="12"/>
      <c r="H266" s="70"/>
    </row>
    <row r="267" spans="1:8" ht="14.25" thickBot="1">
      <c r="A267" s="216"/>
      <c r="B267" s="278"/>
      <c r="C267" s="389" t="s">
        <v>65</v>
      </c>
      <c r="D267" s="251"/>
      <c r="E267" s="262"/>
      <c r="F267" s="262"/>
      <c r="G267" s="12"/>
      <c r="H267" s="70"/>
    </row>
    <row r="268" spans="1:8" ht="14.25" thickBot="1">
      <c r="A268" s="216"/>
      <c r="B268" s="278"/>
      <c r="C268" s="307" t="s">
        <v>45</v>
      </c>
      <c r="D268" s="308" t="s">
        <v>47</v>
      </c>
      <c r="E268" s="262"/>
      <c r="F268" s="262"/>
      <c r="G268" s="12"/>
      <c r="H268" s="70"/>
    </row>
    <row r="269" spans="1:8" ht="13.5">
      <c r="A269" s="216"/>
      <c r="B269" s="278"/>
      <c r="C269" s="252">
        <f>B265</f>
        <v>25.063451776649742</v>
      </c>
      <c r="D269" s="344">
        <f>A265</f>
        <v>34</v>
      </c>
      <c r="E269" s="262"/>
      <c r="F269" s="262"/>
      <c r="G269" s="12"/>
      <c r="H269" s="70"/>
    </row>
    <row r="270" spans="1:8" ht="13.5">
      <c r="A270" s="216"/>
      <c r="B270" s="278"/>
      <c r="C270" s="252">
        <f>B266</f>
        <v>27.547770700636924</v>
      </c>
      <c r="D270" s="344">
        <f>A266</f>
        <v>21</v>
      </c>
      <c r="E270" s="262"/>
      <c r="F270" s="345"/>
      <c r="H270" s="70"/>
    </row>
    <row r="271" spans="1:8" ht="15.75">
      <c r="A271" s="81"/>
      <c r="B271" s="11"/>
      <c r="C271" s="9"/>
      <c r="D271" s="9"/>
      <c r="E271" s="12"/>
      <c r="F271" s="12"/>
      <c r="G271" s="12"/>
      <c r="H271" s="70"/>
    </row>
    <row r="272" spans="1:8" ht="15.75" thickBot="1">
      <c r="A272" s="310" t="s">
        <v>48</v>
      </c>
      <c r="B272" s="77"/>
      <c r="C272" s="9"/>
      <c r="D272" s="9"/>
      <c r="E272" s="9"/>
      <c r="F272" s="9"/>
      <c r="G272" s="9"/>
      <c r="H272" s="70"/>
    </row>
    <row r="273" spans="1:8" ht="13.5">
      <c r="A273" s="282" t="s">
        <v>50</v>
      </c>
      <c r="B273" s="311"/>
      <c r="C273" s="311"/>
      <c r="D273" s="312"/>
      <c r="E273" s="313">
        <v>40</v>
      </c>
      <c r="F273" s="314">
        <v>41</v>
      </c>
      <c r="G273" s="392"/>
      <c r="H273" s="70"/>
    </row>
    <row r="274" spans="1:8" ht="13.5">
      <c r="A274" s="280" t="s">
        <v>51</v>
      </c>
      <c r="B274" s="281"/>
      <c r="C274" s="281"/>
      <c r="D274" s="291"/>
      <c r="E274" s="315">
        <v>24.43</v>
      </c>
      <c r="F274" s="285">
        <v>23.83</v>
      </c>
      <c r="G274" s="12"/>
      <c r="H274" s="70"/>
    </row>
    <row r="275" spans="1:8" ht="13.5">
      <c r="A275" s="280" t="s">
        <v>52</v>
      </c>
      <c r="B275" s="281"/>
      <c r="C275" s="281"/>
      <c r="D275" s="291"/>
      <c r="E275" s="315">
        <v>23.11</v>
      </c>
      <c r="F275" s="316">
        <v>22.65</v>
      </c>
      <c r="G275" s="393"/>
      <c r="H275" s="70"/>
    </row>
    <row r="276" spans="1:8" ht="14.25" thickBot="1">
      <c r="A276" s="280" t="s">
        <v>53</v>
      </c>
      <c r="B276" s="281"/>
      <c r="C276" s="281"/>
      <c r="D276" s="291"/>
      <c r="E276" s="355">
        <v>17.11</v>
      </c>
      <c r="F276" s="286">
        <v>17.21</v>
      </c>
      <c r="G276" s="393"/>
      <c r="H276" s="70"/>
    </row>
    <row r="277" spans="1:8" ht="14.25" thickBot="1">
      <c r="A277" s="280" t="s">
        <v>54</v>
      </c>
      <c r="B277" s="281"/>
      <c r="C277" s="281"/>
      <c r="D277" s="291"/>
      <c r="E277" s="391">
        <f>E275-E276</f>
        <v>6</v>
      </c>
      <c r="F277" s="374">
        <f>F275-F276</f>
        <v>5.439999999999998</v>
      </c>
      <c r="G277" s="22"/>
      <c r="H277" s="70"/>
    </row>
    <row r="278" spans="1:8" ht="14.25" thickBot="1">
      <c r="A278" s="280" t="s">
        <v>55</v>
      </c>
      <c r="B278" s="281"/>
      <c r="C278" s="281"/>
      <c r="D278" s="291"/>
      <c r="E278" s="193">
        <f>E274-E275</f>
        <v>1.3200000000000003</v>
      </c>
      <c r="F278" s="294">
        <f>F274-F275</f>
        <v>1.1799999999999997</v>
      </c>
      <c r="G278" s="393"/>
      <c r="H278" s="70"/>
    </row>
    <row r="279" spans="1:8" ht="14.25" thickBot="1">
      <c r="A279" s="287" t="s">
        <v>56</v>
      </c>
      <c r="B279" s="288"/>
      <c r="C279" s="288"/>
      <c r="D279" s="296"/>
      <c r="E279" s="195">
        <f>E278*100/E277</f>
        <v>22.000000000000004</v>
      </c>
      <c r="F279" s="293">
        <f>F278*100/F277</f>
        <v>21.69117647058824</v>
      </c>
      <c r="G279" s="22"/>
      <c r="H279" s="70"/>
    </row>
    <row r="280" spans="1:8" ht="12.75">
      <c r="A280" s="82"/>
      <c r="B280" s="9"/>
      <c r="C280" s="9"/>
      <c r="D280" s="9"/>
      <c r="E280" s="9"/>
      <c r="F280" s="9"/>
      <c r="G280" s="9"/>
      <c r="H280" s="70"/>
    </row>
    <row r="281" spans="1:8" ht="12.75">
      <c r="A281" s="82"/>
      <c r="B281" s="9"/>
      <c r="C281" s="321" t="s">
        <v>57</v>
      </c>
      <c r="D281" s="9"/>
      <c r="E281" s="9"/>
      <c r="F281" s="9"/>
      <c r="G281" s="9"/>
      <c r="H281" s="70"/>
    </row>
    <row r="282" spans="1:8" ht="12.75">
      <c r="A282" s="82"/>
      <c r="B282" s="9"/>
      <c r="C282" s="86"/>
      <c r="D282" s="9"/>
      <c r="E282" s="9"/>
      <c r="F282" s="9"/>
      <c r="G282" s="9"/>
      <c r="H282" s="70"/>
    </row>
    <row r="283" spans="1:8" ht="13.5">
      <c r="A283" s="216"/>
      <c r="B283" s="217"/>
      <c r="C283" s="322" t="s">
        <v>59</v>
      </c>
      <c r="D283" s="322"/>
      <c r="E283" s="217"/>
      <c r="F283" s="324">
        <f>D265</f>
        <v>26.493103792126192</v>
      </c>
      <c r="G283" s="390" t="s">
        <v>23</v>
      </c>
      <c r="H283" s="70"/>
    </row>
    <row r="284" spans="1:8" ht="13.5">
      <c r="A284" s="216"/>
      <c r="B284" s="217"/>
      <c r="C284" s="322" t="s">
        <v>58</v>
      </c>
      <c r="D284" s="322"/>
      <c r="E284" s="217"/>
      <c r="F284" s="324">
        <f>AVERAGE(E279:G279)</f>
        <v>21.845588235294123</v>
      </c>
      <c r="G284" s="390" t="s">
        <v>23</v>
      </c>
      <c r="H284" s="70"/>
    </row>
    <row r="285" spans="1:8" ht="13.5">
      <c r="A285" s="216"/>
      <c r="B285" s="217"/>
      <c r="C285" s="322" t="s">
        <v>49</v>
      </c>
      <c r="D285" s="322"/>
      <c r="E285" s="217"/>
      <c r="F285" s="324">
        <f>F283-F284</f>
        <v>4.647515556832069</v>
      </c>
      <c r="G285" s="390" t="s">
        <v>23</v>
      </c>
      <c r="H285" s="70"/>
    </row>
    <row r="286" spans="1:8" ht="13.5">
      <c r="A286" s="216"/>
      <c r="B286" s="217"/>
      <c r="C286" s="217"/>
      <c r="D286" s="217"/>
      <c r="E286" s="217"/>
      <c r="F286" s="217"/>
      <c r="G286" s="217"/>
      <c r="H286" s="70"/>
    </row>
    <row r="287" spans="1:8" ht="13.5">
      <c r="A287" s="325" t="s">
        <v>60</v>
      </c>
      <c r="B287" s="217"/>
      <c r="C287" s="217"/>
      <c r="D287" s="217"/>
      <c r="E287" s="217"/>
      <c r="F287" s="217"/>
      <c r="G287" s="217"/>
      <c r="H287" s="70"/>
    </row>
    <row r="288" spans="1:8" ht="14.25" thickBot="1">
      <c r="A288" s="216"/>
      <c r="B288" s="217"/>
      <c r="C288" s="217"/>
      <c r="D288" s="217"/>
      <c r="E288" s="217"/>
      <c r="F288" s="217"/>
      <c r="G288" s="217"/>
      <c r="H288" s="70"/>
    </row>
    <row r="289" spans="1:8" ht="14.25" thickBot="1">
      <c r="A289" s="216"/>
      <c r="B289" s="217"/>
      <c r="C289" s="217"/>
      <c r="D289" s="217"/>
      <c r="E289" s="332" t="s">
        <v>61</v>
      </c>
      <c r="F289" s="383">
        <f>C293-35</f>
        <v>22.599033816425113</v>
      </c>
      <c r="G289" s="217"/>
      <c r="H289" s="70"/>
    </row>
    <row r="290" spans="1:8" ht="14.25" thickBot="1">
      <c r="A290" s="339" t="s">
        <v>169</v>
      </c>
      <c r="B290" s="384">
        <f>(0.2*F289)+(0.005*F289*F291)+(0.01*F290*F292)</f>
        <v>4.519806763285023</v>
      </c>
      <c r="C290" s="367">
        <f>B290</f>
        <v>4.519806763285023</v>
      </c>
      <c r="D290" s="217"/>
      <c r="E290" s="333" t="s">
        <v>62</v>
      </c>
      <c r="F290" s="337">
        <f>C293-15</f>
        <v>42.59903381642511</v>
      </c>
      <c r="G290" s="217"/>
      <c r="H290" s="70"/>
    </row>
    <row r="291" spans="1:8" ht="13.5">
      <c r="A291" s="216"/>
      <c r="B291" s="217"/>
      <c r="C291" s="217"/>
      <c r="D291" s="217"/>
      <c r="E291" s="333" t="s">
        <v>63</v>
      </c>
      <c r="F291" s="337">
        <v>0</v>
      </c>
      <c r="G291" s="217"/>
      <c r="H291" s="70"/>
    </row>
    <row r="292" spans="1:8" ht="14.25" thickBot="1">
      <c r="A292" s="216"/>
      <c r="B292" s="217"/>
      <c r="C292" s="217"/>
      <c r="D292" s="217"/>
      <c r="E292" s="334" t="s">
        <v>64</v>
      </c>
      <c r="F292" s="338">
        <v>0</v>
      </c>
      <c r="G292" s="217"/>
      <c r="H292" s="70"/>
    </row>
    <row r="293" spans="1:8" ht="14.25" thickBot="1">
      <c r="A293" s="216"/>
      <c r="B293" s="386" t="s">
        <v>197</v>
      </c>
      <c r="C293" s="391">
        <f>granulometria!G298</f>
        <v>57.59903381642511</v>
      </c>
      <c r="D293" s="217"/>
      <c r="E293" s="217"/>
      <c r="F293" s="217"/>
      <c r="G293" s="217"/>
      <c r="H293" s="70"/>
    </row>
    <row r="294" spans="1:8" ht="14.25" thickBot="1">
      <c r="A294" s="364"/>
      <c r="B294" s="386" t="s">
        <v>80</v>
      </c>
      <c r="C294" s="198">
        <f>F283</f>
        <v>26.493103792126192</v>
      </c>
      <c r="D294" s="217"/>
      <c r="E294" s="217"/>
      <c r="F294" s="217"/>
      <c r="G294" s="217"/>
      <c r="H294" s="70"/>
    </row>
    <row r="295" spans="1:8" ht="14.25" thickBot="1">
      <c r="A295" s="216"/>
      <c r="B295" s="387" t="s">
        <v>198</v>
      </c>
      <c r="C295" s="195">
        <f>F285</f>
        <v>4.647515556832069</v>
      </c>
      <c r="D295" s="217"/>
      <c r="E295" s="217"/>
      <c r="F295" s="217"/>
      <c r="G295" s="217"/>
      <c r="H295" s="70"/>
    </row>
    <row r="296" spans="1:8" ht="12.75">
      <c r="A296" s="69"/>
      <c r="B296" s="6"/>
      <c r="C296" s="6"/>
      <c r="D296" s="6"/>
      <c r="E296" s="6"/>
      <c r="F296" s="6"/>
      <c r="G296" s="6"/>
      <c r="H296" s="70"/>
    </row>
    <row r="297" spans="1:8" ht="13.5" thickBot="1">
      <c r="A297" s="24"/>
      <c r="B297" s="89"/>
      <c r="C297" s="90"/>
      <c r="D297" s="90"/>
      <c r="E297" s="90"/>
      <c r="F297" s="90"/>
      <c r="G297" s="90"/>
      <c r="H297" s="25"/>
    </row>
    <row r="301" spans="1:8" ht="12.75">
      <c r="A301" s="5"/>
      <c r="B301" s="5"/>
      <c r="C301" s="5"/>
      <c r="D301" s="5"/>
      <c r="E301" s="5"/>
      <c r="F301" s="5"/>
      <c r="G301" s="5"/>
      <c r="H301" s="5"/>
    </row>
    <row r="302" spans="1:8" ht="12.75">
      <c r="A302" s="5"/>
      <c r="B302" s="5"/>
      <c r="C302" s="5"/>
      <c r="D302" s="5"/>
      <c r="E302" s="5"/>
      <c r="F302" s="5"/>
      <c r="G302" s="5"/>
      <c r="H302" s="5"/>
    </row>
    <row r="303" spans="1:8" ht="15">
      <c r="A303" s="132"/>
      <c r="B303" s="133"/>
      <c r="C303" s="134"/>
      <c r="D303" s="134"/>
      <c r="E303" s="134"/>
      <c r="F303" s="134"/>
      <c r="G303" s="134"/>
      <c r="H303" s="5"/>
    </row>
    <row r="304" spans="1:8" ht="12.75">
      <c r="A304" s="134"/>
      <c r="B304" s="135"/>
      <c r="C304" s="135"/>
      <c r="D304" s="135"/>
      <c r="E304" s="136"/>
      <c r="F304" s="136"/>
      <c r="G304" s="136"/>
      <c r="H304" s="5"/>
    </row>
    <row r="305" spans="1:8" ht="12.75">
      <c r="A305" s="134"/>
      <c r="B305" s="134"/>
      <c r="C305" s="134"/>
      <c r="D305" s="134"/>
      <c r="E305" s="137"/>
      <c r="F305" s="137"/>
      <c r="G305" s="137"/>
      <c r="H305" s="5"/>
    </row>
    <row r="306" spans="1:8" ht="12.75">
      <c r="A306" s="134"/>
      <c r="B306" s="134"/>
      <c r="C306" s="134"/>
      <c r="D306" s="134"/>
      <c r="E306" s="137"/>
      <c r="F306" s="137"/>
      <c r="G306" s="137"/>
      <c r="H306" s="5"/>
    </row>
    <row r="307" spans="1:8" ht="12.75">
      <c r="A307" s="134"/>
      <c r="B307" s="134"/>
      <c r="C307" s="134"/>
      <c r="D307" s="134"/>
      <c r="E307" s="137"/>
      <c r="F307" s="138"/>
      <c r="G307" s="138"/>
      <c r="H307" s="5"/>
    </row>
    <row r="308" spans="1:8" ht="12.75">
      <c r="A308" s="134"/>
      <c r="B308" s="134"/>
      <c r="C308" s="134"/>
      <c r="D308" s="134"/>
      <c r="E308" s="139"/>
      <c r="F308" s="140"/>
      <c r="G308" s="137"/>
      <c r="H308" s="5"/>
    </row>
    <row r="309" spans="1:8" ht="12.75">
      <c r="A309" s="134"/>
      <c r="B309" s="134"/>
      <c r="C309" s="134"/>
      <c r="D309" s="134"/>
      <c r="E309" s="139"/>
      <c r="F309" s="139"/>
      <c r="G309" s="137"/>
      <c r="H309" s="5"/>
    </row>
    <row r="310" spans="1:8" ht="12.75">
      <c r="A310" s="134"/>
      <c r="B310" s="134"/>
      <c r="C310" s="134"/>
      <c r="D310" s="134"/>
      <c r="E310" s="140"/>
      <c r="F310" s="140"/>
      <c r="G310" s="138"/>
      <c r="H310" s="5"/>
    </row>
    <row r="311" spans="1:8" ht="12.75">
      <c r="A311" s="134"/>
      <c r="B311" s="134"/>
      <c r="C311" s="134"/>
      <c r="D311" s="134"/>
      <c r="E311" s="137"/>
      <c r="F311" s="137"/>
      <c r="G311" s="137"/>
      <c r="H311" s="5"/>
    </row>
    <row r="312" spans="1:8" ht="15.75">
      <c r="A312" s="141"/>
      <c r="B312" s="141"/>
      <c r="C312" s="134"/>
      <c r="D312" s="134"/>
      <c r="E312" s="137"/>
      <c r="F312" s="137"/>
      <c r="G312" s="137"/>
      <c r="H312" s="5"/>
    </row>
    <row r="313" spans="1:8" ht="12.75">
      <c r="A313" s="142"/>
      <c r="B313" s="142"/>
      <c r="C313" s="142"/>
      <c r="D313" s="142"/>
      <c r="E313" s="137"/>
      <c r="F313" s="137"/>
      <c r="G313" s="137"/>
      <c r="H313" s="5"/>
    </row>
    <row r="314" spans="1:8" ht="12.75">
      <c r="A314" s="143"/>
      <c r="B314" s="144"/>
      <c r="C314" s="144"/>
      <c r="D314" s="134"/>
      <c r="E314" s="137"/>
      <c r="F314" s="137"/>
      <c r="G314" s="137"/>
      <c r="H314" s="5"/>
    </row>
    <row r="315" spans="1:8" ht="12.75">
      <c r="A315" s="143"/>
      <c r="B315" s="144"/>
      <c r="C315" s="144"/>
      <c r="D315" s="138"/>
      <c r="E315" s="137"/>
      <c r="F315" s="137"/>
      <c r="G315" s="137"/>
      <c r="H315" s="5"/>
    </row>
    <row r="316" spans="1:8" ht="12.75">
      <c r="A316" s="134"/>
      <c r="B316" s="145"/>
      <c r="C316" s="137"/>
      <c r="D316" s="137"/>
      <c r="E316" s="137"/>
      <c r="F316" s="137"/>
      <c r="G316" s="137"/>
      <c r="H316" s="5"/>
    </row>
    <row r="317" spans="1:8" ht="12.75">
      <c r="A317" s="134"/>
      <c r="B317" s="145"/>
      <c r="C317" s="137"/>
      <c r="D317" s="137"/>
      <c r="E317" s="137"/>
      <c r="F317" s="137"/>
      <c r="G317" s="137"/>
      <c r="H317" s="5"/>
    </row>
    <row r="318" spans="1:8" ht="12.75">
      <c r="A318" s="134"/>
      <c r="B318" s="145"/>
      <c r="C318" s="138"/>
      <c r="D318" s="146"/>
      <c r="E318" s="137"/>
      <c r="F318" s="137"/>
      <c r="G318" s="137"/>
      <c r="H318" s="5"/>
    </row>
    <row r="319" spans="1:8" ht="12.75">
      <c r="A319" s="134"/>
      <c r="B319" s="145"/>
      <c r="C319" s="138"/>
      <c r="D319" s="146"/>
      <c r="E319" s="137"/>
      <c r="F319" s="137"/>
      <c r="G319" s="137"/>
      <c r="H319" s="5"/>
    </row>
    <row r="320" spans="1:8" ht="15.75">
      <c r="A320" s="141"/>
      <c r="B320" s="141"/>
      <c r="C320" s="134"/>
      <c r="D320" s="134"/>
      <c r="E320" s="137"/>
      <c r="F320" s="137"/>
      <c r="G320" s="137"/>
      <c r="H320" s="5"/>
    </row>
    <row r="321" spans="1:8" ht="15">
      <c r="A321" s="132"/>
      <c r="B321" s="133"/>
      <c r="C321" s="134"/>
      <c r="D321" s="134"/>
      <c r="E321" s="134"/>
      <c r="F321" s="134"/>
      <c r="G321" s="134"/>
      <c r="H321" s="5"/>
    </row>
    <row r="322" spans="1:8" ht="12.75">
      <c r="A322" s="134"/>
      <c r="B322" s="134"/>
      <c r="C322" s="134"/>
      <c r="D322" s="134"/>
      <c r="E322" s="136"/>
      <c r="F322" s="136"/>
      <c r="G322" s="136"/>
      <c r="H322" s="5"/>
    </row>
    <row r="323" spans="1:8" ht="12.75">
      <c r="A323" s="134"/>
      <c r="B323" s="134"/>
      <c r="C323" s="134"/>
      <c r="D323" s="134"/>
      <c r="E323" s="137"/>
      <c r="F323" s="137"/>
      <c r="G323" s="137"/>
      <c r="H323" s="5"/>
    </row>
    <row r="324" spans="1:8" ht="12.75">
      <c r="A324" s="134"/>
      <c r="B324" s="134"/>
      <c r="C324" s="134"/>
      <c r="D324" s="134"/>
      <c r="E324" s="137"/>
      <c r="F324" s="138"/>
      <c r="G324" s="137"/>
      <c r="H324" s="5"/>
    </row>
    <row r="325" spans="1:8" ht="12.75">
      <c r="A325" s="134"/>
      <c r="B325" s="134"/>
      <c r="C325" s="134"/>
      <c r="D325" s="134"/>
      <c r="E325" s="138"/>
      <c r="F325" s="138"/>
      <c r="G325" s="137"/>
      <c r="H325" s="5"/>
    </row>
    <row r="326" spans="1:8" ht="12.75">
      <c r="A326" s="134"/>
      <c r="B326" s="134"/>
      <c r="C326" s="134"/>
      <c r="D326" s="134"/>
      <c r="E326" s="140"/>
      <c r="F326" s="140"/>
      <c r="G326" s="138"/>
      <c r="H326" s="5"/>
    </row>
    <row r="327" spans="1:8" ht="12.75">
      <c r="A327" s="134"/>
      <c r="B327" s="134"/>
      <c r="C327" s="134"/>
      <c r="D327" s="134"/>
      <c r="E327" s="139"/>
      <c r="F327" s="140"/>
      <c r="G327" s="137"/>
      <c r="H327" s="5"/>
    </row>
    <row r="328" spans="1:8" ht="12.75">
      <c r="A328" s="134"/>
      <c r="B328" s="134"/>
      <c r="C328" s="134"/>
      <c r="D328" s="134"/>
      <c r="E328" s="140"/>
      <c r="F328" s="140"/>
      <c r="G328" s="138"/>
      <c r="H328" s="5"/>
    </row>
    <row r="329" spans="1:8" ht="12.75">
      <c r="A329" s="134"/>
      <c r="B329" s="134"/>
      <c r="C329" s="134"/>
      <c r="D329" s="134"/>
      <c r="E329" s="134"/>
      <c r="F329" s="134"/>
      <c r="G329" s="134"/>
      <c r="H329" s="5"/>
    </row>
    <row r="330" spans="1:8" ht="12.75">
      <c r="A330" s="134"/>
      <c r="B330" s="134"/>
      <c r="C330" s="132"/>
      <c r="D330" s="134"/>
      <c r="E330" s="134"/>
      <c r="F330" s="134"/>
      <c r="G330" s="134"/>
      <c r="H330" s="5"/>
    </row>
    <row r="331" spans="1:8" ht="12.75">
      <c r="A331" s="134"/>
      <c r="B331" s="134"/>
      <c r="C331" s="132"/>
      <c r="D331" s="134"/>
      <c r="E331" s="134"/>
      <c r="F331" s="134"/>
      <c r="G331" s="134"/>
      <c r="H331" s="5"/>
    </row>
    <row r="332" spans="1:8" ht="12.75">
      <c r="A332" s="134"/>
      <c r="B332" s="134"/>
      <c r="C332" s="134"/>
      <c r="D332" s="134"/>
      <c r="E332" s="134"/>
      <c r="F332" s="138"/>
      <c r="G332" s="134"/>
      <c r="H332" s="5"/>
    </row>
    <row r="333" spans="1:8" ht="12.75">
      <c r="A333" s="134"/>
      <c r="B333" s="134"/>
      <c r="C333" s="134"/>
      <c r="D333" s="134"/>
      <c r="E333" s="134"/>
      <c r="F333" s="138"/>
      <c r="G333" s="134"/>
      <c r="H333" s="5"/>
    </row>
    <row r="334" spans="1:8" ht="12.75">
      <c r="A334" s="134"/>
      <c r="B334" s="134"/>
      <c r="C334" s="134"/>
      <c r="D334" s="134"/>
      <c r="E334" s="134"/>
      <c r="F334" s="138"/>
      <c r="G334" s="134"/>
      <c r="H334" s="5"/>
    </row>
    <row r="335" spans="1:8" ht="12.75">
      <c r="A335" s="134"/>
      <c r="B335" s="134"/>
      <c r="C335" s="134"/>
      <c r="D335" s="134"/>
      <c r="E335" s="134"/>
      <c r="F335" s="134"/>
      <c r="G335" s="134"/>
      <c r="H335" s="5"/>
    </row>
    <row r="336" spans="1:8" ht="12.75">
      <c r="A336" s="5"/>
      <c r="B336" s="5"/>
      <c r="C336" s="5"/>
      <c r="D336" s="5"/>
      <c r="E336" s="5"/>
      <c r="F336" s="5"/>
      <c r="G336" s="5"/>
      <c r="H336" s="5"/>
    </row>
    <row r="337" spans="1:8" ht="12.75">
      <c r="A337" s="5"/>
      <c r="B337" s="5"/>
      <c r="C337" s="5"/>
      <c r="D337" s="5"/>
      <c r="E337" s="5"/>
      <c r="F337" s="5"/>
      <c r="G337" s="5"/>
      <c r="H337" s="5"/>
    </row>
    <row r="338" spans="1:8" ht="12.75">
      <c r="A338" s="5"/>
      <c r="B338" s="5"/>
      <c r="C338" s="5"/>
      <c r="D338" s="5"/>
      <c r="E338" s="147"/>
      <c r="F338" s="130"/>
      <c r="G338" s="5"/>
      <c r="H338" s="5"/>
    </row>
    <row r="339" spans="1:8" ht="12.75">
      <c r="A339" s="5"/>
      <c r="B339" s="5"/>
      <c r="C339" s="5"/>
      <c r="D339" s="5"/>
      <c r="E339" s="147"/>
      <c r="F339" s="130"/>
      <c r="G339" s="5"/>
      <c r="H339" s="5"/>
    </row>
    <row r="340" spans="1:8" ht="12.75">
      <c r="A340" s="5"/>
      <c r="B340" s="5"/>
      <c r="C340" s="5"/>
      <c r="D340" s="5"/>
      <c r="E340" s="147"/>
      <c r="F340" s="130"/>
      <c r="G340" s="5"/>
      <c r="H340" s="5"/>
    </row>
    <row r="341" spans="1:8" ht="12.75">
      <c r="A341" s="5"/>
      <c r="B341" s="5"/>
      <c r="C341" s="5"/>
      <c r="D341" s="5"/>
      <c r="E341" s="147"/>
      <c r="F341" s="130"/>
      <c r="G341" s="5"/>
      <c r="H341" s="5"/>
    </row>
    <row r="342" spans="1:8" ht="12.75">
      <c r="A342" s="5"/>
      <c r="B342" s="5"/>
      <c r="C342" s="130"/>
      <c r="D342" s="5"/>
      <c r="E342" s="5"/>
      <c r="F342" s="5"/>
      <c r="G342" s="5"/>
      <c r="H342" s="5"/>
    </row>
    <row r="343" spans="1:8" ht="12.75">
      <c r="A343" s="148"/>
      <c r="B343" s="5"/>
      <c r="C343" s="130"/>
      <c r="D343" s="5"/>
      <c r="E343" s="5"/>
      <c r="F343" s="5"/>
      <c r="G343" s="5"/>
      <c r="H343" s="5"/>
    </row>
    <row r="344" spans="1:8" ht="12.75">
      <c r="A344" s="5"/>
      <c r="B344" s="5"/>
      <c r="C344" s="130"/>
      <c r="D344" s="5"/>
      <c r="E344" s="5"/>
      <c r="F344" s="5"/>
      <c r="G344" s="5"/>
      <c r="H344" s="5"/>
    </row>
    <row r="345" spans="1:8" ht="12.75">
      <c r="A345" s="5"/>
      <c r="B345" s="5"/>
      <c r="C345" s="5"/>
      <c r="D345" s="5"/>
      <c r="E345" s="5"/>
      <c r="F345" s="5"/>
      <c r="G345" s="5"/>
      <c r="H345" s="5"/>
    </row>
    <row r="346" spans="1:8" ht="12.75">
      <c r="A346" s="5"/>
      <c r="B346" s="5"/>
      <c r="C346" s="5"/>
      <c r="D346" s="5"/>
      <c r="E346" s="5"/>
      <c r="F346" s="5"/>
      <c r="G346" s="5"/>
      <c r="H346" s="5"/>
    </row>
  </sheetData>
  <sheetProtection/>
  <mergeCells count="31">
    <mergeCell ref="A251:B251"/>
    <mergeCell ref="A252:B252"/>
    <mergeCell ref="D265:D266"/>
    <mergeCell ref="A202:B202"/>
    <mergeCell ref="D215:D216"/>
    <mergeCell ref="A248:H248"/>
    <mergeCell ref="A250:B250"/>
    <mergeCell ref="D165:D166"/>
    <mergeCell ref="A198:H198"/>
    <mergeCell ref="A200:B200"/>
    <mergeCell ref="A201:B201"/>
    <mergeCell ref="A148:H148"/>
    <mergeCell ref="A150:B150"/>
    <mergeCell ref="A151:B151"/>
    <mergeCell ref="A152:B152"/>
    <mergeCell ref="A101:B101"/>
    <mergeCell ref="A102:B102"/>
    <mergeCell ref="A103:B103"/>
    <mergeCell ref="D116:D117"/>
    <mergeCell ref="A53:B53"/>
    <mergeCell ref="A54:B54"/>
    <mergeCell ref="D67:D68"/>
    <mergeCell ref="A99:H99"/>
    <mergeCell ref="A7:B7"/>
    <mergeCell ref="D18:D19"/>
    <mergeCell ref="A50:H50"/>
    <mergeCell ref="A52:B52"/>
    <mergeCell ref="A1:H1"/>
    <mergeCell ref="A3:B3"/>
    <mergeCell ref="A4:B4"/>
    <mergeCell ref="A5:B5"/>
  </mergeCells>
  <printOptions/>
  <pageMargins left="0.75" right="0.75" top="1" bottom="1" header="0" footer="0"/>
  <pageSetup horizontalDpi="300" verticalDpi="300" orientation="portrait" r:id="rId10"/>
  <drawing r:id="rId9"/>
  <legacyDrawing r:id="rId8"/>
  <oleObjects>
    <oleObject progId="Equation.3" shapeId="260523" r:id="rId1"/>
    <oleObject progId="Equation.3" shapeId="323512" r:id="rId2"/>
    <oleObject progId="Equation.3" shapeId="420683" r:id="rId3"/>
    <oleObject progId="Equation.3" shapeId="433605" r:id="rId4"/>
    <oleObject progId="Equation.3" shapeId="452932" r:id="rId5"/>
    <oleObject progId="Equation.3" shapeId="471362" r:id="rId6"/>
    <oleObject progId="Equation.3" shapeId="49747" r:id="rId7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K350"/>
  <sheetViews>
    <sheetView zoomScalePageLayoutView="0" workbookViewId="0" topLeftCell="A1">
      <selection activeCell="D24" sqref="D24"/>
    </sheetView>
  </sheetViews>
  <sheetFormatPr defaultColWidth="11.421875" defaultRowHeight="12.75"/>
  <cols>
    <col min="1" max="1" width="12.8515625" style="91" customWidth="1"/>
    <col min="2" max="2" width="13.00390625" style="91" customWidth="1"/>
    <col min="3" max="3" width="10.00390625" style="91" customWidth="1"/>
    <col min="4" max="4" width="12.00390625" style="91" customWidth="1"/>
    <col min="5" max="5" width="11.28125" style="91" customWidth="1"/>
    <col min="6" max="7" width="11.421875" style="91" customWidth="1"/>
    <col min="8" max="8" width="4.00390625" style="91" customWidth="1"/>
    <col min="9" max="16384" width="11.421875" style="91" customWidth="1"/>
  </cols>
  <sheetData>
    <row r="1" spans="1:7" ht="12.75" customHeight="1" thickBot="1">
      <c r="A1" s="649" t="s">
        <v>223</v>
      </c>
      <c r="B1" s="650"/>
      <c r="C1" s="650"/>
      <c r="D1" s="650"/>
      <c r="E1" s="650"/>
      <c r="F1" s="650"/>
      <c r="G1" s="651"/>
    </row>
    <row r="2" spans="1:7" ht="12.75" thickBot="1">
      <c r="A2" s="99"/>
      <c r="B2" s="100"/>
      <c r="C2" s="100"/>
      <c r="D2" s="100"/>
      <c r="E2" s="100"/>
      <c r="F2" s="100"/>
      <c r="G2" s="101"/>
    </row>
    <row r="3" spans="1:7" ht="13.5" thickTop="1">
      <c r="A3" s="640" t="s">
        <v>2</v>
      </c>
      <c r="B3" s="623"/>
      <c r="C3" s="652" t="s">
        <v>3</v>
      </c>
      <c r="D3" s="653"/>
      <c r="E3" s="100"/>
      <c r="F3" s="100"/>
      <c r="G3" s="101"/>
    </row>
    <row r="4" spans="1:7" ht="12.75">
      <c r="A4" s="641" t="s">
        <v>1</v>
      </c>
      <c r="B4" s="625"/>
      <c r="C4" s="654" t="s">
        <v>211</v>
      </c>
      <c r="D4" s="655"/>
      <c r="E4" s="100"/>
      <c r="F4" s="100"/>
      <c r="G4" s="101"/>
    </row>
    <row r="5" spans="1:7" ht="13.5" thickBot="1">
      <c r="A5" s="642" t="s">
        <v>4</v>
      </c>
      <c r="B5" s="627"/>
      <c r="C5" s="656" t="s">
        <v>5</v>
      </c>
      <c r="D5" s="657"/>
      <c r="E5" s="100"/>
      <c r="F5" s="100"/>
      <c r="G5" s="101"/>
    </row>
    <row r="6" spans="1:7" ht="12.75" thickTop="1">
      <c r="A6" s="99"/>
      <c r="B6" s="100"/>
      <c r="C6" s="100"/>
      <c r="D6" s="100"/>
      <c r="E6" s="100"/>
      <c r="F6" s="100"/>
      <c r="G6" s="101"/>
    </row>
    <row r="7" spans="1:7" ht="12.75" thickBot="1">
      <c r="A7" s="99"/>
      <c r="B7" s="100"/>
      <c r="C7" s="100"/>
      <c r="D7" s="100"/>
      <c r="E7" s="100"/>
      <c r="F7" s="100"/>
      <c r="G7" s="101"/>
    </row>
    <row r="8" spans="1:9" ht="15" thickBot="1">
      <c r="A8" s="399" t="s">
        <v>71</v>
      </c>
      <c r="B8" s="395">
        <v>1</v>
      </c>
      <c r="C8" s="399" t="s">
        <v>224</v>
      </c>
      <c r="D8" s="395">
        <v>2122</v>
      </c>
      <c r="E8" s="394" t="s">
        <v>72</v>
      </c>
      <c r="F8" s="399" t="s">
        <v>73</v>
      </c>
      <c r="G8" s="395">
        <v>2527</v>
      </c>
      <c r="H8" s="95"/>
      <c r="I8" s="95"/>
    </row>
    <row r="9" spans="1:9" ht="15" thickBot="1">
      <c r="A9" s="396"/>
      <c r="B9" s="397"/>
      <c r="C9" s="397"/>
      <c r="D9" s="397"/>
      <c r="E9" s="397"/>
      <c r="F9" s="397"/>
      <c r="G9" s="398"/>
      <c r="H9" s="95"/>
      <c r="I9" s="95"/>
    </row>
    <row r="10" spans="1:9" ht="15" thickTop="1">
      <c r="A10" s="410" t="s">
        <v>102</v>
      </c>
      <c r="B10" s="411"/>
      <c r="C10" s="411"/>
      <c r="D10" s="419">
        <v>5</v>
      </c>
      <c r="E10" s="420">
        <v>5</v>
      </c>
      <c r="F10" s="420">
        <v>5</v>
      </c>
      <c r="G10" s="421">
        <v>5</v>
      </c>
      <c r="H10" s="30"/>
      <c r="I10" s="30"/>
    </row>
    <row r="11" spans="1:9" ht="14.25">
      <c r="A11" s="412" t="s">
        <v>103</v>
      </c>
      <c r="B11" s="413"/>
      <c r="C11" s="413"/>
      <c r="D11" s="414">
        <v>56</v>
      </c>
      <c r="E11" s="415">
        <v>56</v>
      </c>
      <c r="F11" s="415">
        <v>56</v>
      </c>
      <c r="G11" s="416">
        <v>56</v>
      </c>
      <c r="H11" s="30"/>
      <c r="I11" s="30"/>
    </row>
    <row r="12" spans="1:9" ht="14.25">
      <c r="A12" s="412" t="s">
        <v>104</v>
      </c>
      <c r="B12" s="413"/>
      <c r="C12" s="413"/>
      <c r="D12" s="414">
        <v>6110</v>
      </c>
      <c r="E12" s="415">
        <v>6750</v>
      </c>
      <c r="F12" s="415">
        <v>6825</v>
      </c>
      <c r="G12" s="416">
        <v>6669</v>
      </c>
      <c r="H12" s="30"/>
      <c r="I12" s="30"/>
    </row>
    <row r="13" spans="1:9" ht="14.25">
      <c r="A13" s="412" t="s">
        <v>105</v>
      </c>
      <c r="B13" s="413"/>
      <c r="C13" s="413"/>
      <c r="D13" s="414">
        <v>2527</v>
      </c>
      <c r="E13" s="415">
        <v>2527</v>
      </c>
      <c r="F13" s="415">
        <v>2527</v>
      </c>
      <c r="G13" s="416">
        <v>2527</v>
      </c>
      <c r="H13" s="30"/>
      <c r="I13" s="30"/>
    </row>
    <row r="14" spans="1:9" ht="14.25">
      <c r="A14" s="412" t="s">
        <v>106</v>
      </c>
      <c r="B14" s="413"/>
      <c r="C14" s="413"/>
      <c r="D14" s="414">
        <f>D8</f>
        <v>2122</v>
      </c>
      <c r="E14" s="415">
        <f>D14</f>
        <v>2122</v>
      </c>
      <c r="F14" s="415">
        <f>E14</f>
        <v>2122</v>
      </c>
      <c r="G14" s="416">
        <f>F14</f>
        <v>2122</v>
      </c>
      <c r="H14" s="30"/>
      <c r="I14" s="30"/>
    </row>
    <row r="15" spans="1:9" ht="14.25">
      <c r="A15" s="422" t="s">
        <v>107</v>
      </c>
      <c r="B15" s="423"/>
      <c r="C15" s="413"/>
      <c r="D15" s="424">
        <f>D12-D13</f>
        <v>3583</v>
      </c>
      <c r="E15" s="415">
        <f>E12-E13</f>
        <v>4223</v>
      </c>
      <c r="F15" s="415">
        <f>F12-F13</f>
        <v>4298</v>
      </c>
      <c r="G15" s="416">
        <f>G12-G13</f>
        <v>4142</v>
      </c>
      <c r="H15" s="30"/>
      <c r="I15" s="30"/>
    </row>
    <row r="16" spans="1:9" ht="17.25" thickBot="1">
      <c r="A16" s="417" t="s">
        <v>225</v>
      </c>
      <c r="B16" s="418"/>
      <c r="C16" s="418"/>
      <c r="D16" s="425">
        <f>D15/D14</f>
        <v>1.6885014137606031</v>
      </c>
      <c r="E16" s="426">
        <f>E15/E14</f>
        <v>1.9901036757775683</v>
      </c>
      <c r="F16" s="426">
        <f>F15/F14</f>
        <v>2.0254476908576815</v>
      </c>
      <c r="G16" s="427">
        <f>G15/G14</f>
        <v>1.9519321394910463</v>
      </c>
      <c r="H16" s="28"/>
      <c r="I16" s="28"/>
    </row>
    <row r="17" spans="1:9" ht="15" thickTop="1">
      <c r="A17" s="400" t="s">
        <v>108</v>
      </c>
      <c r="B17" s="401"/>
      <c r="C17" s="401"/>
      <c r="D17" s="428">
        <v>50</v>
      </c>
      <c r="E17" s="429">
        <v>51</v>
      </c>
      <c r="F17" s="429">
        <v>52</v>
      </c>
      <c r="G17" s="430">
        <v>53</v>
      </c>
      <c r="H17" s="30"/>
      <c r="I17" s="30"/>
    </row>
    <row r="18" spans="1:9" ht="14.25">
      <c r="A18" s="402" t="s">
        <v>109</v>
      </c>
      <c r="B18" s="403"/>
      <c r="C18" s="403"/>
      <c r="D18" s="404">
        <v>116.7</v>
      </c>
      <c r="E18" s="405">
        <v>116.5</v>
      </c>
      <c r="F18" s="405">
        <v>115.5</v>
      </c>
      <c r="G18" s="406">
        <v>114</v>
      </c>
      <c r="H18" s="30"/>
      <c r="I18" s="30"/>
    </row>
    <row r="19" spans="1:9" ht="14.25">
      <c r="A19" s="402" t="s">
        <v>110</v>
      </c>
      <c r="B19" s="403"/>
      <c r="C19" s="403"/>
      <c r="D19" s="404">
        <v>114.4</v>
      </c>
      <c r="E19" s="431">
        <v>110.2</v>
      </c>
      <c r="F19" s="405">
        <v>107.9</v>
      </c>
      <c r="G19" s="406">
        <v>105.4</v>
      </c>
      <c r="H19" s="29"/>
      <c r="I19" s="29"/>
    </row>
    <row r="20" spans="1:9" ht="14.25">
      <c r="A20" s="402" t="s">
        <v>111</v>
      </c>
      <c r="B20" s="403"/>
      <c r="C20" s="403"/>
      <c r="D20" s="404">
        <f>D18-D19</f>
        <v>2.299999999999997</v>
      </c>
      <c r="E20" s="432">
        <f>E18-E19</f>
        <v>6.299999999999997</v>
      </c>
      <c r="F20" s="432">
        <f>F18-F19</f>
        <v>7.599999999999994</v>
      </c>
      <c r="G20" s="406">
        <f>G18-G19</f>
        <v>8.599999999999994</v>
      </c>
      <c r="H20" s="30"/>
      <c r="I20" s="30"/>
    </row>
    <row r="21" spans="1:9" ht="14.25">
      <c r="A21" s="402" t="s">
        <v>112</v>
      </c>
      <c r="B21" s="403"/>
      <c r="C21" s="403"/>
      <c r="D21" s="404">
        <v>88.4</v>
      </c>
      <c r="E21" s="405">
        <v>73.4</v>
      </c>
      <c r="F21" s="405">
        <v>74.6</v>
      </c>
      <c r="G21" s="406">
        <v>74.2</v>
      </c>
      <c r="H21" s="30"/>
      <c r="I21" s="30"/>
    </row>
    <row r="22" spans="1:9" ht="14.25">
      <c r="A22" s="402" t="s">
        <v>113</v>
      </c>
      <c r="B22" s="403"/>
      <c r="C22" s="403"/>
      <c r="D22" s="404">
        <f>D19-D21</f>
        <v>26</v>
      </c>
      <c r="E22" s="432">
        <f>E19-E21</f>
        <v>36.8</v>
      </c>
      <c r="F22" s="432">
        <f>F19-F21</f>
        <v>33.30000000000001</v>
      </c>
      <c r="G22" s="406">
        <f>G19-G21</f>
        <v>31.200000000000003</v>
      </c>
      <c r="H22" s="30"/>
      <c r="I22" s="30"/>
    </row>
    <row r="23" spans="1:9" ht="14.25">
      <c r="A23" s="402" t="s">
        <v>114</v>
      </c>
      <c r="B23" s="403"/>
      <c r="C23" s="403"/>
      <c r="D23" s="433">
        <f>D20*100/D22</f>
        <v>8.846153846153836</v>
      </c>
      <c r="E23" s="434">
        <f>E20*100/E22</f>
        <v>17.1195652173913</v>
      </c>
      <c r="F23" s="434">
        <f>F20*100/F22</f>
        <v>22.822822822822797</v>
      </c>
      <c r="G23" s="435">
        <f>G20*100/G22</f>
        <v>27.564102564102544</v>
      </c>
      <c r="H23" s="29"/>
      <c r="I23" s="29"/>
    </row>
    <row r="24" spans="1:9" ht="17.25" thickBot="1">
      <c r="A24" s="407" t="s">
        <v>226</v>
      </c>
      <c r="B24" s="408"/>
      <c r="C24" s="408"/>
      <c r="D24" s="436">
        <f>(100*D16)/(100+D23)</f>
        <v>1.5512733836669854</v>
      </c>
      <c r="E24" s="437">
        <f>(100*E16)/(100+E23)</f>
        <v>1.6992068507799192</v>
      </c>
      <c r="F24" s="437">
        <f>(100*F16)/(100+F23)</f>
        <v>1.6490808827765477</v>
      </c>
      <c r="G24" s="438">
        <f>(100*G16)/(100+G23)</f>
        <v>1.5301578580934838</v>
      </c>
      <c r="H24" s="28"/>
      <c r="I24" s="28"/>
    </row>
    <row r="25" spans="1:9" ht="12.75" thickTop="1">
      <c r="A25" s="102"/>
      <c r="B25" s="93"/>
      <c r="C25" s="93"/>
      <c r="D25" s="93"/>
      <c r="E25" s="93"/>
      <c r="F25" s="93"/>
      <c r="G25" s="103"/>
      <c r="H25" s="95"/>
      <c r="I25" s="95"/>
    </row>
    <row r="26" spans="1:9" ht="12">
      <c r="A26" s="102"/>
      <c r="B26" s="93"/>
      <c r="C26" s="93"/>
      <c r="D26" s="93"/>
      <c r="E26" s="93"/>
      <c r="F26" s="93"/>
      <c r="G26" s="103"/>
      <c r="H26" s="95"/>
      <c r="I26" s="95"/>
    </row>
    <row r="27" spans="1:9" ht="12">
      <c r="A27" s="102"/>
      <c r="B27" s="93"/>
      <c r="C27" s="93"/>
      <c r="D27" s="93"/>
      <c r="E27" s="93"/>
      <c r="F27" s="93"/>
      <c r="G27" s="103"/>
      <c r="H27" s="95"/>
      <c r="I27" s="95"/>
    </row>
    <row r="28" spans="1:9" ht="12">
      <c r="A28" s="102"/>
      <c r="B28" s="93"/>
      <c r="C28" s="93"/>
      <c r="D28" s="93"/>
      <c r="E28" s="93"/>
      <c r="F28" s="93"/>
      <c r="G28" s="103"/>
      <c r="H28" s="95"/>
      <c r="I28" s="95"/>
    </row>
    <row r="29" spans="1:10" ht="12">
      <c r="A29" s="102"/>
      <c r="B29" s="93"/>
      <c r="C29" s="93"/>
      <c r="D29" s="93"/>
      <c r="E29" s="93"/>
      <c r="F29" s="93"/>
      <c r="G29" s="103"/>
      <c r="H29" s="95"/>
      <c r="I29" s="95"/>
      <c r="J29" s="96"/>
    </row>
    <row r="30" spans="1:9" ht="12">
      <c r="A30" s="102"/>
      <c r="B30" s="93"/>
      <c r="C30" s="93"/>
      <c r="D30" s="93"/>
      <c r="E30" s="93"/>
      <c r="F30" s="93"/>
      <c r="G30" s="103"/>
      <c r="H30" s="95"/>
      <c r="I30" s="95"/>
    </row>
    <row r="31" spans="1:9" ht="12">
      <c r="A31" s="102"/>
      <c r="B31" s="93"/>
      <c r="C31" s="93"/>
      <c r="D31" s="93"/>
      <c r="E31" s="93"/>
      <c r="F31" s="93"/>
      <c r="G31" s="103"/>
      <c r="H31" s="95"/>
      <c r="I31" s="95"/>
    </row>
    <row r="32" spans="1:9" ht="12">
      <c r="A32" s="102"/>
      <c r="B32" s="93"/>
      <c r="C32" s="93"/>
      <c r="D32" s="93"/>
      <c r="E32" s="93"/>
      <c r="F32" s="93"/>
      <c r="G32" s="103"/>
      <c r="H32" s="95"/>
      <c r="I32" s="95"/>
    </row>
    <row r="33" spans="1:9" ht="12">
      <c r="A33" s="102"/>
      <c r="B33" s="93"/>
      <c r="C33" s="93"/>
      <c r="D33" s="93"/>
      <c r="E33" s="93"/>
      <c r="F33" s="93"/>
      <c r="G33" s="103"/>
      <c r="H33" s="95"/>
      <c r="I33" s="95"/>
    </row>
    <row r="34" spans="1:9" ht="12">
      <c r="A34" s="102"/>
      <c r="B34" s="93"/>
      <c r="C34" s="93"/>
      <c r="D34" s="93"/>
      <c r="E34" s="93"/>
      <c r="F34" s="93"/>
      <c r="G34" s="103"/>
      <c r="H34" s="95"/>
      <c r="I34" s="95"/>
    </row>
    <row r="35" spans="1:9" ht="12">
      <c r="A35" s="102"/>
      <c r="B35" s="93"/>
      <c r="C35" s="93"/>
      <c r="D35" s="93"/>
      <c r="E35" s="93"/>
      <c r="F35" s="93"/>
      <c r="G35" s="103"/>
      <c r="H35" s="95"/>
      <c r="I35" s="95"/>
    </row>
    <row r="36" spans="1:9" ht="12">
      <c r="A36" s="102"/>
      <c r="B36" s="93"/>
      <c r="C36" s="93"/>
      <c r="D36" s="93"/>
      <c r="E36" s="93"/>
      <c r="F36" s="93"/>
      <c r="G36" s="103"/>
      <c r="H36" s="95"/>
      <c r="I36" s="95"/>
    </row>
    <row r="37" spans="1:9" ht="12">
      <c r="A37" s="102"/>
      <c r="B37" s="93"/>
      <c r="C37" s="93"/>
      <c r="D37" s="93"/>
      <c r="E37" s="93"/>
      <c r="F37" s="93"/>
      <c r="G37" s="103"/>
      <c r="H37" s="95"/>
      <c r="I37" s="95"/>
    </row>
    <row r="38" spans="1:9" ht="12">
      <c r="A38" s="102"/>
      <c r="B38" s="93"/>
      <c r="C38" s="93"/>
      <c r="D38" s="93"/>
      <c r="E38" s="93"/>
      <c r="F38" s="93"/>
      <c r="G38" s="103"/>
      <c r="H38" s="95"/>
      <c r="I38" s="95"/>
    </row>
    <row r="39" spans="1:9" ht="12">
      <c r="A39" s="102"/>
      <c r="B39" s="93"/>
      <c r="C39" s="93"/>
      <c r="D39" s="93"/>
      <c r="E39" s="93"/>
      <c r="F39" s="93"/>
      <c r="G39" s="103"/>
      <c r="H39" s="95"/>
      <c r="I39" s="95"/>
    </row>
    <row r="40" spans="1:9" ht="12">
      <c r="A40" s="102"/>
      <c r="B40" s="93"/>
      <c r="C40" s="93"/>
      <c r="D40" s="93"/>
      <c r="E40" s="93"/>
      <c r="F40" s="93"/>
      <c r="G40" s="103"/>
      <c r="H40" s="95"/>
      <c r="I40" s="95"/>
    </row>
    <row r="41" spans="1:9" ht="12">
      <c r="A41" s="102"/>
      <c r="B41" s="93"/>
      <c r="C41" s="93"/>
      <c r="D41" s="93"/>
      <c r="E41" s="93"/>
      <c r="F41" s="93"/>
      <c r="G41" s="103"/>
      <c r="H41" s="95"/>
      <c r="I41" s="95"/>
    </row>
    <row r="42" spans="1:9" ht="12">
      <c r="A42" s="102"/>
      <c r="B42" s="93"/>
      <c r="C42" s="93"/>
      <c r="D42" s="93"/>
      <c r="E42" s="93"/>
      <c r="F42" s="93"/>
      <c r="G42" s="103"/>
      <c r="H42" s="95"/>
      <c r="I42" s="95"/>
    </row>
    <row r="43" spans="1:9" ht="12">
      <c r="A43" s="102"/>
      <c r="B43" s="93"/>
      <c r="C43" s="93"/>
      <c r="D43" s="93"/>
      <c r="E43" s="93"/>
      <c r="F43" s="93"/>
      <c r="G43" s="103"/>
      <c r="H43" s="95"/>
      <c r="I43" s="95"/>
    </row>
    <row r="44" spans="1:9" ht="12">
      <c r="A44" s="102"/>
      <c r="B44" s="93"/>
      <c r="C44" s="93"/>
      <c r="D44" s="93"/>
      <c r="E44" s="93"/>
      <c r="F44" s="93"/>
      <c r="G44" s="103"/>
      <c r="H44" s="95"/>
      <c r="I44" s="95"/>
    </row>
    <row r="45" spans="1:9" ht="12">
      <c r="A45" s="102"/>
      <c r="B45" s="93"/>
      <c r="C45" s="93"/>
      <c r="D45" s="93"/>
      <c r="E45" s="93"/>
      <c r="F45" s="93"/>
      <c r="G45" s="103"/>
      <c r="H45" s="95"/>
      <c r="I45" s="95"/>
    </row>
    <row r="46" spans="1:9" ht="12">
      <c r="A46" s="102"/>
      <c r="B46" s="93"/>
      <c r="C46" s="93"/>
      <c r="D46" s="93"/>
      <c r="E46" s="93"/>
      <c r="F46" s="93"/>
      <c r="G46" s="103"/>
      <c r="H46" s="95"/>
      <c r="I46" s="95"/>
    </row>
    <row r="47" spans="1:9" ht="16.5">
      <c r="A47" s="658" t="s">
        <v>74</v>
      </c>
      <c r="B47" s="659"/>
      <c r="C47" s="660" t="s">
        <v>75</v>
      </c>
      <c r="D47" s="660"/>
      <c r="E47" s="660"/>
      <c r="F47" s="443">
        <v>1.705</v>
      </c>
      <c r="G47" s="439" t="s">
        <v>227</v>
      </c>
      <c r="H47" s="95"/>
      <c r="I47" s="95"/>
    </row>
    <row r="48" spans="1:9" ht="14.25">
      <c r="A48" s="102"/>
      <c r="B48" s="93"/>
      <c r="C48" s="661" t="s">
        <v>76</v>
      </c>
      <c r="D48" s="661"/>
      <c r="E48" s="661"/>
      <c r="F48" s="444">
        <v>18.5</v>
      </c>
      <c r="G48" s="440" t="s">
        <v>77</v>
      </c>
      <c r="H48" s="95"/>
      <c r="I48" s="95"/>
    </row>
    <row r="49" spans="1:7" ht="12">
      <c r="A49" s="99"/>
      <c r="B49" s="100"/>
      <c r="C49" s="100"/>
      <c r="D49" s="100"/>
      <c r="E49" s="100"/>
      <c r="F49" s="100"/>
      <c r="G49" s="101"/>
    </row>
    <row r="50" spans="1:7" ht="12">
      <c r="A50" s="99"/>
      <c r="B50" s="100"/>
      <c r="C50" s="100"/>
      <c r="D50" s="100"/>
      <c r="E50" s="100"/>
      <c r="F50" s="150"/>
      <c r="G50" s="101"/>
    </row>
    <row r="51" spans="1:7" ht="12.75" thickBot="1">
      <c r="A51" s="104"/>
      <c r="B51" s="105"/>
      <c r="C51" s="105"/>
      <c r="D51" s="105"/>
      <c r="E51" s="105"/>
      <c r="F51" s="105"/>
      <c r="G51" s="106"/>
    </row>
    <row r="52" spans="1:7" s="159" customFormat="1" ht="13.5" customHeight="1" thickBot="1">
      <c r="A52" s="649" t="s">
        <v>223</v>
      </c>
      <c r="B52" s="650"/>
      <c r="C52" s="650"/>
      <c r="D52" s="650"/>
      <c r="E52" s="650"/>
      <c r="F52" s="650"/>
      <c r="G52" s="651"/>
    </row>
    <row r="53" spans="1:7" ht="12.75" thickBot="1">
      <c r="A53" s="99"/>
      <c r="B53" s="100"/>
      <c r="C53" s="100"/>
      <c r="D53" s="100"/>
      <c r="E53" s="100"/>
      <c r="F53" s="100"/>
      <c r="G53" s="101"/>
    </row>
    <row r="54" spans="1:7" ht="13.5" thickTop="1">
      <c r="A54" s="640" t="s">
        <v>2</v>
      </c>
      <c r="B54" s="623"/>
      <c r="C54" s="652" t="s">
        <v>3</v>
      </c>
      <c r="D54" s="653"/>
      <c r="E54" s="100"/>
      <c r="F54" s="100"/>
      <c r="G54" s="101"/>
    </row>
    <row r="55" spans="1:7" ht="12.75">
      <c r="A55" s="641" t="s">
        <v>1</v>
      </c>
      <c r="B55" s="625"/>
      <c r="C55" s="654" t="s">
        <v>210</v>
      </c>
      <c r="D55" s="655"/>
      <c r="E55" s="100"/>
      <c r="F55" s="100"/>
      <c r="G55" s="101"/>
    </row>
    <row r="56" spans="1:7" ht="13.5" thickBot="1">
      <c r="A56" s="642" t="s">
        <v>4</v>
      </c>
      <c r="B56" s="627"/>
      <c r="C56" s="656" t="s">
        <v>66</v>
      </c>
      <c r="D56" s="657"/>
      <c r="E56" s="100"/>
      <c r="F56" s="100"/>
      <c r="G56" s="101"/>
    </row>
    <row r="57" spans="1:7" ht="12.75" thickTop="1">
      <c r="A57" s="99"/>
      <c r="B57" s="100"/>
      <c r="C57" s="100"/>
      <c r="D57" s="100"/>
      <c r="E57" s="100"/>
      <c r="F57" s="100"/>
      <c r="G57" s="101"/>
    </row>
    <row r="58" spans="1:9" ht="12.75" thickBot="1">
      <c r="A58" s="99"/>
      <c r="B58" s="100"/>
      <c r="C58" s="100"/>
      <c r="D58" s="100"/>
      <c r="E58" s="100"/>
      <c r="F58" s="100"/>
      <c r="G58" s="101"/>
      <c r="I58" s="95"/>
    </row>
    <row r="59" spans="1:9" ht="15" thickBot="1">
      <c r="A59" s="399" t="s">
        <v>71</v>
      </c>
      <c r="B59" s="395">
        <v>1</v>
      </c>
      <c r="C59" s="399" t="s">
        <v>224</v>
      </c>
      <c r="D59" s="395">
        <v>2122</v>
      </c>
      <c r="E59" s="394" t="s">
        <v>72</v>
      </c>
      <c r="F59" s="399" t="s">
        <v>73</v>
      </c>
      <c r="G59" s="395">
        <v>2527</v>
      </c>
      <c r="H59" s="95"/>
      <c r="I59" s="95"/>
    </row>
    <row r="60" spans="1:9" ht="12.75" thickBot="1">
      <c r="A60" s="102"/>
      <c r="B60" s="93"/>
      <c r="C60" s="93"/>
      <c r="D60" s="93"/>
      <c r="E60" s="93"/>
      <c r="F60" s="93"/>
      <c r="G60" s="103"/>
      <c r="H60" s="30"/>
      <c r="I60" s="30"/>
    </row>
    <row r="61" spans="1:9" ht="15" thickTop="1">
      <c r="A61" s="410" t="s">
        <v>102</v>
      </c>
      <c r="B61" s="411"/>
      <c r="C61" s="411"/>
      <c r="D61" s="419">
        <v>5</v>
      </c>
      <c r="E61" s="420">
        <v>5</v>
      </c>
      <c r="F61" s="420">
        <v>5</v>
      </c>
      <c r="G61" s="421">
        <v>5</v>
      </c>
      <c r="H61" s="30"/>
      <c r="I61" s="30"/>
    </row>
    <row r="62" spans="1:9" ht="14.25">
      <c r="A62" s="412" t="s">
        <v>103</v>
      </c>
      <c r="B62" s="413"/>
      <c r="C62" s="413"/>
      <c r="D62" s="414">
        <v>56</v>
      </c>
      <c r="E62" s="415">
        <v>56</v>
      </c>
      <c r="F62" s="415">
        <v>56</v>
      </c>
      <c r="G62" s="416">
        <v>56</v>
      </c>
      <c r="H62" s="30"/>
      <c r="I62" s="30"/>
    </row>
    <row r="63" spans="1:9" ht="14.25">
      <c r="A63" s="412" t="s">
        <v>104</v>
      </c>
      <c r="B63" s="413"/>
      <c r="C63" s="413"/>
      <c r="D63" s="414">
        <v>6065</v>
      </c>
      <c r="E63" s="415">
        <v>6755</v>
      </c>
      <c r="F63" s="415">
        <v>6805</v>
      </c>
      <c r="G63" s="416">
        <v>6755</v>
      </c>
      <c r="H63" s="30"/>
      <c r="I63" s="30"/>
    </row>
    <row r="64" spans="1:9" ht="14.25">
      <c r="A64" s="412" t="s">
        <v>105</v>
      </c>
      <c r="B64" s="413"/>
      <c r="C64" s="413"/>
      <c r="D64" s="414">
        <f>G59</f>
        <v>2527</v>
      </c>
      <c r="E64" s="415">
        <f aca="true" t="shared" si="0" ref="E64:G65">D64</f>
        <v>2527</v>
      </c>
      <c r="F64" s="415">
        <f t="shared" si="0"/>
        <v>2527</v>
      </c>
      <c r="G64" s="416">
        <f t="shared" si="0"/>
        <v>2527</v>
      </c>
      <c r="H64" s="30"/>
      <c r="I64" s="30"/>
    </row>
    <row r="65" spans="1:9" ht="14.25">
      <c r="A65" s="412" t="s">
        <v>106</v>
      </c>
      <c r="B65" s="413"/>
      <c r="C65" s="413"/>
      <c r="D65" s="414">
        <f>D59</f>
        <v>2122</v>
      </c>
      <c r="E65" s="415">
        <f t="shared" si="0"/>
        <v>2122</v>
      </c>
      <c r="F65" s="415">
        <f t="shared" si="0"/>
        <v>2122</v>
      </c>
      <c r="G65" s="416">
        <f t="shared" si="0"/>
        <v>2122</v>
      </c>
      <c r="H65" s="30"/>
      <c r="I65" s="30"/>
    </row>
    <row r="66" spans="1:9" ht="14.25">
      <c r="A66" s="422" t="s">
        <v>107</v>
      </c>
      <c r="B66" s="423"/>
      <c r="C66" s="413"/>
      <c r="D66" s="424">
        <f>D63-D64</f>
        <v>3538</v>
      </c>
      <c r="E66" s="415">
        <f>E63-E64</f>
        <v>4228</v>
      </c>
      <c r="F66" s="415">
        <f>F63-F64</f>
        <v>4278</v>
      </c>
      <c r="G66" s="416">
        <f>G63-G64</f>
        <v>4228</v>
      </c>
      <c r="H66" s="28"/>
      <c r="I66" s="28"/>
    </row>
    <row r="67" spans="1:9" ht="17.25" thickBot="1">
      <c r="A67" s="417" t="s">
        <v>225</v>
      </c>
      <c r="B67" s="418"/>
      <c r="C67" s="418"/>
      <c r="D67" s="425">
        <f>D66/D65</f>
        <v>1.6672950047125354</v>
      </c>
      <c r="E67" s="426">
        <f>E66/E65</f>
        <v>1.9924599434495758</v>
      </c>
      <c r="F67" s="426">
        <f>F66/F65</f>
        <v>2.016022620169651</v>
      </c>
      <c r="G67" s="427">
        <f>G66/G65</f>
        <v>1.9924599434495758</v>
      </c>
      <c r="H67" s="30"/>
      <c r="I67" s="30"/>
    </row>
    <row r="68" spans="1:9" ht="15" thickTop="1">
      <c r="A68" s="400" t="s">
        <v>108</v>
      </c>
      <c r="B68" s="401"/>
      <c r="C68" s="401"/>
      <c r="D68" s="428">
        <v>54</v>
      </c>
      <c r="E68" s="429">
        <v>55</v>
      </c>
      <c r="F68" s="429">
        <v>56</v>
      </c>
      <c r="G68" s="430">
        <v>57</v>
      </c>
      <c r="H68" s="30"/>
      <c r="I68" s="30"/>
    </row>
    <row r="69" spans="1:9" ht="14.25">
      <c r="A69" s="402" t="s">
        <v>109</v>
      </c>
      <c r="B69" s="403"/>
      <c r="C69" s="403"/>
      <c r="D69" s="404">
        <v>115.7</v>
      </c>
      <c r="E69" s="405">
        <v>115</v>
      </c>
      <c r="F69" s="405">
        <v>117.6</v>
      </c>
      <c r="G69" s="406">
        <v>115.4</v>
      </c>
      <c r="H69" s="29"/>
      <c r="I69" s="29"/>
    </row>
    <row r="70" spans="1:9" ht="14.25">
      <c r="A70" s="402" t="s">
        <v>110</v>
      </c>
      <c r="B70" s="403"/>
      <c r="C70" s="403"/>
      <c r="D70" s="404">
        <v>112.5</v>
      </c>
      <c r="E70" s="431">
        <v>109</v>
      </c>
      <c r="F70" s="405">
        <v>113</v>
      </c>
      <c r="G70" s="406">
        <v>108.1</v>
      </c>
      <c r="H70" s="30"/>
      <c r="I70" s="30"/>
    </row>
    <row r="71" spans="1:9" ht="14.25">
      <c r="A71" s="402" t="s">
        <v>111</v>
      </c>
      <c r="B71" s="403"/>
      <c r="C71" s="403"/>
      <c r="D71" s="404">
        <f>D69-D70</f>
        <v>3.200000000000003</v>
      </c>
      <c r="E71" s="432">
        <f>E69-E70</f>
        <v>6</v>
      </c>
      <c r="F71" s="432">
        <f>F69-F70</f>
        <v>4.599999999999994</v>
      </c>
      <c r="G71" s="406">
        <f>G69-G70</f>
        <v>7.300000000000011</v>
      </c>
      <c r="H71" s="30"/>
      <c r="I71" s="30"/>
    </row>
    <row r="72" spans="1:9" ht="14.25">
      <c r="A72" s="402" t="s">
        <v>112</v>
      </c>
      <c r="B72" s="403"/>
      <c r="C72" s="403"/>
      <c r="D72" s="404">
        <v>74.3</v>
      </c>
      <c r="E72" s="405">
        <v>72</v>
      </c>
      <c r="F72" s="405">
        <v>89.7</v>
      </c>
      <c r="G72" s="406">
        <v>78.1</v>
      </c>
      <c r="H72" s="30"/>
      <c r="I72" s="30"/>
    </row>
    <row r="73" spans="1:9" ht="14.25">
      <c r="A73" s="402" t="s">
        <v>113</v>
      </c>
      <c r="B73" s="403"/>
      <c r="C73" s="403"/>
      <c r="D73" s="404">
        <f>D70-D72</f>
        <v>38.2</v>
      </c>
      <c r="E73" s="434">
        <f>E70-E72</f>
        <v>37</v>
      </c>
      <c r="F73" s="432">
        <f>F70-F72</f>
        <v>23.299999999999997</v>
      </c>
      <c r="G73" s="406">
        <f>G70-G72</f>
        <v>30</v>
      </c>
      <c r="H73" s="29"/>
      <c r="I73" s="29"/>
    </row>
    <row r="74" spans="1:9" ht="14.25">
      <c r="A74" s="402" t="s">
        <v>114</v>
      </c>
      <c r="B74" s="403"/>
      <c r="C74" s="403"/>
      <c r="D74" s="433">
        <f>D71*100/D73</f>
        <v>8.376963350785347</v>
      </c>
      <c r="E74" s="434">
        <f>E71*100/E73</f>
        <v>16.216216216216218</v>
      </c>
      <c r="F74" s="434">
        <f>F71*100/F73</f>
        <v>19.742489270386244</v>
      </c>
      <c r="G74" s="435">
        <f>G71*100/G73</f>
        <v>24.33333333333337</v>
      </c>
      <c r="H74" s="28"/>
      <c r="I74" s="28"/>
    </row>
    <row r="75" spans="1:9" ht="17.25" thickBot="1">
      <c r="A75" s="407" t="s">
        <v>226</v>
      </c>
      <c r="B75" s="408"/>
      <c r="C75" s="408"/>
      <c r="D75" s="436">
        <f>(100*D67)/(100+D74)</f>
        <v>1.5384219608700205</v>
      </c>
      <c r="E75" s="437">
        <f>(100*E67)/(100+E74)</f>
        <v>1.7144422769217278</v>
      </c>
      <c r="F75" s="437">
        <f>(100*F67)/(100+F74)</f>
        <v>1.683631793905121</v>
      </c>
      <c r="G75" s="438">
        <f>(100*G67)/(100+G74)</f>
        <v>1.6025146998253956</v>
      </c>
      <c r="H75" s="95"/>
      <c r="I75" s="95"/>
    </row>
    <row r="76" spans="1:9" ht="12.75" thickTop="1">
      <c r="A76" s="102"/>
      <c r="B76" s="93"/>
      <c r="C76" s="93"/>
      <c r="D76" s="93"/>
      <c r="E76" s="93"/>
      <c r="F76" s="93"/>
      <c r="G76" s="103"/>
      <c r="H76" s="95"/>
      <c r="I76" s="95"/>
    </row>
    <row r="77" spans="1:9" ht="12">
      <c r="A77" s="102"/>
      <c r="B77" s="93"/>
      <c r="C77" s="93"/>
      <c r="D77" s="107"/>
      <c r="E77" s="93"/>
      <c r="F77" s="93"/>
      <c r="G77" s="103"/>
      <c r="H77" s="95"/>
      <c r="I77" s="95"/>
    </row>
    <row r="78" spans="1:9" ht="12">
      <c r="A78" s="102"/>
      <c r="B78" s="93"/>
      <c r="C78" s="93"/>
      <c r="D78" s="93"/>
      <c r="E78" s="93"/>
      <c r="F78" s="93"/>
      <c r="G78" s="103"/>
      <c r="H78" s="95"/>
      <c r="I78" s="95"/>
    </row>
    <row r="79" spans="1:9" ht="12">
      <c r="A79" s="102"/>
      <c r="B79" s="93"/>
      <c r="C79" s="93"/>
      <c r="D79" s="93"/>
      <c r="E79" s="93"/>
      <c r="F79" s="93"/>
      <c r="G79" s="103"/>
      <c r="H79" s="95"/>
      <c r="I79" s="95"/>
    </row>
    <row r="80" spans="1:9" ht="12">
      <c r="A80" s="102"/>
      <c r="B80" s="93"/>
      <c r="C80" s="93"/>
      <c r="D80" s="93"/>
      <c r="E80" s="93"/>
      <c r="F80" s="93"/>
      <c r="G80" s="103"/>
      <c r="H80" s="95"/>
      <c r="I80" s="95"/>
    </row>
    <row r="81" spans="1:9" ht="12">
      <c r="A81" s="102"/>
      <c r="B81" s="93"/>
      <c r="C81" s="93"/>
      <c r="D81" s="93"/>
      <c r="E81" s="93"/>
      <c r="F81" s="93"/>
      <c r="G81" s="103"/>
      <c r="H81" s="95"/>
      <c r="I81" s="95"/>
    </row>
    <row r="82" spans="1:9" ht="12">
      <c r="A82" s="102"/>
      <c r="B82" s="93"/>
      <c r="C82" s="93"/>
      <c r="D82" s="93"/>
      <c r="E82" s="93"/>
      <c r="F82" s="93"/>
      <c r="G82" s="103"/>
      <c r="H82" s="95"/>
      <c r="I82" s="95"/>
    </row>
    <row r="83" spans="1:9" ht="12">
      <c r="A83" s="102"/>
      <c r="B83" s="93"/>
      <c r="C83" s="93"/>
      <c r="D83" s="93"/>
      <c r="E83" s="93"/>
      <c r="F83" s="93"/>
      <c r="G83" s="103"/>
      <c r="H83" s="95"/>
      <c r="I83" s="95"/>
    </row>
    <row r="84" spans="1:9" ht="12">
      <c r="A84" s="102"/>
      <c r="B84" s="93"/>
      <c r="C84" s="93"/>
      <c r="D84" s="93"/>
      <c r="E84" s="93"/>
      <c r="F84" s="93"/>
      <c r="G84" s="103"/>
      <c r="H84" s="95"/>
      <c r="I84" s="95"/>
    </row>
    <row r="85" spans="1:9" ht="12">
      <c r="A85" s="102"/>
      <c r="B85" s="93"/>
      <c r="C85" s="93"/>
      <c r="D85" s="93"/>
      <c r="E85" s="93"/>
      <c r="F85" s="93"/>
      <c r="G85" s="103"/>
      <c r="H85" s="95"/>
      <c r="I85" s="95"/>
    </row>
    <row r="86" spans="1:9" ht="12">
      <c r="A86" s="102"/>
      <c r="B86" s="93"/>
      <c r="C86" s="93"/>
      <c r="D86" s="93"/>
      <c r="E86" s="93"/>
      <c r="F86" s="93"/>
      <c r="G86" s="103"/>
      <c r="H86" s="95"/>
      <c r="I86" s="95"/>
    </row>
    <row r="87" spans="1:9" ht="12">
      <c r="A87" s="102"/>
      <c r="B87" s="93"/>
      <c r="C87" s="93"/>
      <c r="D87" s="93"/>
      <c r="E87" s="93"/>
      <c r="F87" s="93"/>
      <c r="G87" s="103"/>
      <c r="H87" s="95"/>
      <c r="I87" s="95"/>
    </row>
    <row r="88" spans="1:9" ht="12">
      <c r="A88" s="102"/>
      <c r="B88" s="93"/>
      <c r="C88" s="93"/>
      <c r="D88" s="93"/>
      <c r="E88" s="93"/>
      <c r="F88" s="93"/>
      <c r="G88" s="103"/>
      <c r="H88" s="95"/>
      <c r="I88" s="95"/>
    </row>
    <row r="89" spans="1:9" ht="12">
      <c r="A89" s="102"/>
      <c r="B89" s="93"/>
      <c r="C89" s="93"/>
      <c r="D89" s="93"/>
      <c r="E89" s="93"/>
      <c r="F89" s="93"/>
      <c r="G89" s="103"/>
      <c r="H89" s="95"/>
      <c r="I89" s="95"/>
    </row>
    <row r="90" spans="1:9" ht="12">
      <c r="A90" s="102"/>
      <c r="B90" s="93"/>
      <c r="C90" s="93"/>
      <c r="D90" s="93"/>
      <c r="E90" s="93"/>
      <c r="F90" s="93"/>
      <c r="G90" s="103"/>
      <c r="H90" s="95"/>
      <c r="I90" s="95"/>
    </row>
    <row r="91" spans="1:9" ht="12">
      <c r="A91" s="102"/>
      <c r="B91" s="93"/>
      <c r="C91" s="93"/>
      <c r="D91" s="93"/>
      <c r="E91" s="93"/>
      <c r="F91" s="93"/>
      <c r="G91" s="103"/>
      <c r="H91" s="95"/>
      <c r="I91" s="95"/>
    </row>
    <row r="92" spans="1:9" ht="12">
      <c r="A92" s="102"/>
      <c r="B92" s="93"/>
      <c r="C92" s="93"/>
      <c r="D92" s="93"/>
      <c r="E92" s="93"/>
      <c r="F92" s="93"/>
      <c r="G92" s="103"/>
      <c r="H92" s="95"/>
      <c r="I92" s="95"/>
    </row>
    <row r="93" spans="1:9" ht="12">
      <c r="A93" s="102"/>
      <c r="B93" s="93"/>
      <c r="C93" s="93"/>
      <c r="D93" s="93"/>
      <c r="E93" s="93"/>
      <c r="F93" s="93"/>
      <c r="G93" s="103"/>
      <c r="H93" s="95"/>
      <c r="I93" s="95"/>
    </row>
    <row r="94" spans="1:9" ht="12">
      <c r="A94" s="102"/>
      <c r="B94" s="93"/>
      <c r="C94" s="93"/>
      <c r="D94" s="93"/>
      <c r="E94" s="93"/>
      <c r="F94" s="93"/>
      <c r="G94" s="103"/>
      <c r="H94" s="95"/>
      <c r="I94" s="95"/>
    </row>
    <row r="95" spans="1:9" ht="12">
      <c r="A95" s="102"/>
      <c r="B95" s="93"/>
      <c r="C95" s="93"/>
      <c r="D95" s="93"/>
      <c r="E95" s="93"/>
      <c r="F95" s="93"/>
      <c r="G95" s="103"/>
      <c r="H95" s="95"/>
      <c r="I95" s="95"/>
    </row>
    <row r="96" spans="1:9" ht="12">
      <c r="A96" s="102"/>
      <c r="B96" s="93"/>
      <c r="C96" s="93"/>
      <c r="D96" s="93"/>
      <c r="E96" s="93"/>
      <c r="F96" s="93"/>
      <c r="G96" s="103"/>
      <c r="H96" s="95"/>
      <c r="I96" s="95"/>
    </row>
    <row r="97" spans="1:9" ht="12">
      <c r="A97" s="102"/>
      <c r="B97" s="93"/>
      <c r="C97" s="93"/>
      <c r="D97" s="93"/>
      <c r="E97" s="93"/>
      <c r="F97" s="93"/>
      <c r="G97" s="103"/>
      <c r="H97" s="95"/>
      <c r="I97" s="95"/>
    </row>
    <row r="98" spans="1:9" ht="16.5">
      <c r="A98" s="658" t="s">
        <v>74</v>
      </c>
      <c r="B98" s="659"/>
      <c r="C98" s="660" t="s">
        <v>75</v>
      </c>
      <c r="D98" s="660"/>
      <c r="E98" s="660"/>
      <c r="F98" s="443">
        <v>1.723</v>
      </c>
      <c r="G98" s="439" t="s">
        <v>227</v>
      </c>
      <c r="H98" s="95"/>
      <c r="I98" s="95"/>
    </row>
    <row r="99" spans="1:7" ht="14.25">
      <c r="A99" s="396"/>
      <c r="B99" s="397"/>
      <c r="C99" s="661" t="s">
        <v>76</v>
      </c>
      <c r="D99" s="661"/>
      <c r="E99" s="661"/>
      <c r="F99" s="444">
        <v>17.4</v>
      </c>
      <c r="G99" s="440" t="s">
        <v>77</v>
      </c>
    </row>
    <row r="100" spans="1:7" ht="12">
      <c r="A100" s="99"/>
      <c r="B100" s="100"/>
      <c r="C100" s="100"/>
      <c r="D100" s="100"/>
      <c r="E100" s="100"/>
      <c r="F100" s="100"/>
      <c r="G100" s="101"/>
    </row>
    <row r="101" spans="1:7" ht="12.75" thickBot="1">
      <c r="A101" s="99"/>
      <c r="B101" s="100"/>
      <c r="C101" s="100"/>
      <c r="D101" s="100"/>
      <c r="E101" s="100"/>
      <c r="F101" s="100"/>
      <c r="G101" s="101"/>
    </row>
    <row r="102" spans="1:7" s="160" customFormat="1" ht="13.5" customHeight="1" thickBot="1">
      <c r="A102" s="649" t="s">
        <v>223</v>
      </c>
      <c r="B102" s="650"/>
      <c r="C102" s="650"/>
      <c r="D102" s="650"/>
      <c r="E102" s="650"/>
      <c r="F102" s="650"/>
      <c r="G102" s="651"/>
    </row>
    <row r="103" spans="1:7" ht="12.75" thickBot="1">
      <c r="A103" s="99"/>
      <c r="B103" s="100"/>
      <c r="C103" s="100"/>
      <c r="D103" s="100"/>
      <c r="E103" s="100"/>
      <c r="F103" s="100"/>
      <c r="G103" s="101"/>
    </row>
    <row r="104" spans="1:7" ht="13.5" thickTop="1">
      <c r="A104" s="640" t="s">
        <v>2</v>
      </c>
      <c r="B104" s="623"/>
      <c r="C104" s="652" t="s">
        <v>3</v>
      </c>
      <c r="D104" s="653"/>
      <c r="E104" s="100"/>
      <c r="F104" s="100"/>
      <c r="G104" s="101"/>
    </row>
    <row r="105" spans="1:7" ht="12.75">
      <c r="A105" s="641" t="s">
        <v>1</v>
      </c>
      <c r="B105" s="625"/>
      <c r="C105" s="654" t="s">
        <v>209</v>
      </c>
      <c r="D105" s="655"/>
      <c r="E105" s="100"/>
      <c r="F105" s="100"/>
      <c r="G105" s="101"/>
    </row>
    <row r="106" spans="1:7" ht="13.5" thickBot="1">
      <c r="A106" s="642" t="s">
        <v>4</v>
      </c>
      <c r="B106" s="627"/>
      <c r="C106" s="656" t="s">
        <v>67</v>
      </c>
      <c r="D106" s="657"/>
      <c r="E106" s="100"/>
      <c r="F106" s="100"/>
      <c r="G106" s="101"/>
    </row>
    <row r="107" spans="1:7" ht="12.75" thickTop="1">
      <c r="A107" s="99"/>
      <c r="B107" s="100"/>
      <c r="C107" s="100"/>
      <c r="D107" s="100"/>
      <c r="E107" s="100"/>
      <c r="F107" s="100"/>
      <c r="G107" s="101"/>
    </row>
    <row r="108" spans="1:9" ht="12.75" thickBot="1">
      <c r="A108" s="99"/>
      <c r="B108" s="100"/>
      <c r="C108" s="100"/>
      <c r="D108" s="100"/>
      <c r="E108" s="100"/>
      <c r="F108" s="100"/>
      <c r="G108" s="101"/>
      <c r="H108" s="95"/>
      <c r="I108" s="95"/>
    </row>
    <row r="109" spans="1:9" ht="15" thickBot="1">
      <c r="A109" s="399" t="s">
        <v>71</v>
      </c>
      <c r="B109" s="395">
        <v>1</v>
      </c>
      <c r="C109" s="399" t="s">
        <v>224</v>
      </c>
      <c r="D109" s="395">
        <v>2122</v>
      </c>
      <c r="E109" s="394" t="s">
        <v>72</v>
      </c>
      <c r="F109" s="399" t="s">
        <v>73</v>
      </c>
      <c r="G109" s="395">
        <v>2527</v>
      </c>
      <c r="H109" s="95"/>
      <c r="I109" s="95"/>
    </row>
    <row r="110" spans="1:9" ht="12.75" thickBot="1">
      <c r="A110" s="102"/>
      <c r="B110" s="93"/>
      <c r="C110" s="93"/>
      <c r="D110" s="93"/>
      <c r="E110" s="93"/>
      <c r="F110" s="93"/>
      <c r="G110" s="103"/>
      <c r="H110" s="94"/>
      <c r="I110" s="30"/>
    </row>
    <row r="111" spans="1:9" ht="15" thickTop="1">
      <c r="A111" s="410" t="s">
        <v>102</v>
      </c>
      <c r="B111" s="411"/>
      <c r="C111" s="411"/>
      <c r="D111" s="419">
        <v>5</v>
      </c>
      <c r="E111" s="420">
        <v>5</v>
      </c>
      <c r="F111" s="420">
        <v>5</v>
      </c>
      <c r="G111" s="421">
        <v>5</v>
      </c>
      <c r="H111" s="67"/>
      <c r="I111" s="30"/>
    </row>
    <row r="112" spans="1:9" ht="14.25">
      <c r="A112" s="412" t="s">
        <v>103</v>
      </c>
      <c r="B112" s="413"/>
      <c r="C112" s="413"/>
      <c r="D112" s="414">
        <v>56</v>
      </c>
      <c r="E112" s="415">
        <v>56</v>
      </c>
      <c r="F112" s="415">
        <v>56</v>
      </c>
      <c r="G112" s="416">
        <v>56</v>
      </c>
      <c r="H112" s="67"/>
      <c r="I112" s="30"/>
    </row>
    <row r="113" spans="1:9" ht="14.25">
      <c r="A113" s="412" t="s">
        <v>104</v>
      </c>
      <c r="B113" s="413"/>
      <c r="C113" s="413"/>
      <c r="D113" s="414">
        <v>5940</v>
      </c>
      <c r="E113" s="415">
        <v>6461</v>
      </c>
      <c r="F113" s="415">
        <v>6900</v>
      </c>
      <c r="G113" s="416">
        <v>6713</v>
      </c>
      <c r="H113" s="67"/>
      <c r="I113" s="30"/>
    </row>
    <row r="114" spans="1:9" ht="14.25">
      <c r="A114" s="412" t="s">
        <v>105</v>
      </c>
      <c r="B114" s="413"/>
      <c r="C114" s="413"/>
      <c r="D114" s="414">
        <f>G109</f>
        <v>2527</v>
      </c>
      <c r="E114" s="415">
        <f aca="true" t="shared" si="1" ref="E114:G115">D114</f>
        <v>2527</v>
      </c>
      <c r="F114" s="415">
        <f t="shared" si="1"/>
        <v>2527</v>
      </c>
      <c r="G114" s="416">
        <f t="shared" si="1"/>
        <v>2527</v>
      </c>
      <c r="H114" s="108"/>
      <c r="I114" s="30"/>
    </row>
    <row r="115" spans="1:9" ht="14.25">
      <c r="A115" s="412" t="s">
        <v>106</v>
      </c>
      <c r="B115" s="413"/>
      <c r="C115" s="413"/>
      <c r="D115" s="414">
        <f>D109</f>
        <v>2122</v>
      </c>
      <c r="E115" s="415">
        <f t="shared" si="1"/>
        <v>2122</v>
      </c>
      <c r="F115" s="415">
        <f t="shared" si="1"/>
        <v>2122</v>
      </c>
      <c r="G115" s="416">
        <f t="shared" si="1"/>
        <v>2122</v>
      </c>
      <c r="H115" s="30"/>
      <c r="I115" s="30"/>
    </row>
    <row r="116" spans="1:9" ht="14.25">
      <c r="A116" s="422" t="s">
        <v>107</v>
      </c>
      <c r="B116" s="423"/>
      <c r="C116" s="413"/>
      <c r="D116" s="424">
        <f>D113-D114</f>
        <v>3413</v>
      </c>
      <c r="E116" s="415">
        <f>E113-E114</f>
        <v>3934</v>
      </c>
      <c r="F116" s="415">
        <f>F113-F114</f>
        <v>4373</v>
      </c>
      <c r="G116" s="416">
        <f>G113-G114</f>
        <v>4186</v>
      </c>
      <c r="H116" s="28"/>
      <c r="I116" s="28"/>
    </row>
    <row r="117" spans="1:9" ht="17.25" thickBot="1">
      <c r="A117" s="417" t="s">
        <v>225</v>
      </c>
      <c r="B117" s="418"/>
      <c r="C117" s="418"/>
      <c r="D117" s="425">
        <f>D116/D115</f>
        <v>1.6083883129123469</v>
      </c>
      <c r="E117" s="426">
        <f>E116/E115</f>
        <v>1.8539114043355325</v>
      </c>
      <c r="F117" s="426">
        <f>F116/F115</f>
        <v>2.0607917059377945</v>
      </c>
      <c r="G117" s="427">
        <f>G116/G115</f>
        <v>1.9726672950047126</v>
      </c>
      <c r="H117" s="30"/>
      <c r="I117" s="30"/>
    </row>
    <row r="118" spans="1:9" ht="15" thickTop="1">
      <c r="A118" s="400" t="s">
        <v>108</v>
      </c>
      <c r="B118" s="401"/>
      <c r="C118" s="401"/>
      <c r="D118" s="428">
        <v>58</v>
      </c>
      <c r="E118" s="429">
        <v>59</v>
      </c>
      <c r="F118" s="429">
        <v>60</v>
      </c>
      <c r="G118" s="430">
        <v>61</v>
      </c>
      <c r="H118" s="94"/>
      <c r="I118" s="30"/>
    </row>
    <row r="119" spans="1:9" ht="14.25">
      <c r="A119" s="402" t="s">
        <v>109</v>
      </c>
      <c r="B119" s="403"/>
      <c r="C119" s="403"/>
      <c r="D119" s="404">
        <v>216.5</v>
      </c>
      <c r="E119" s="405">
        <v>142.5</v>
      </c>
      <c r="F119" s="405">
        <v>170.3</v>
      </c>
      <c r="G119" s="406">
        <v>192.5</v>
      </c>
      <c r="H119" s="66"/>
      <c r="I119" s="29"/>
    </row>
    <row r="120" spans="1:9" ht="14.25">
      <c r="A120" s="402" t="s">
        <v>110</v>
      </c>
      <c r="B120" s="403"/>
      <c r="C120" s="403"/>
      <c r="D120" s="404">
        <v>207.5</v>
      </c>
      <c r="E120" s="431">
        <v>136.2</v>
      </c>
      <c r="F120" s="405">
        <v>156</v>
      </c>
      <c r="G120" s="406">
        <v>171.5</v>
      </c>
      <c r="H120" s="67"/>
      <c r="I120" s="30"/>
    </row>
    <row r="121" spans="1:9" ht="14.25">
      <c r="A121" s="402" t="s">
        <v>111</v>
      </c>
      <c r="B121" s="403"/>
      <c r="C121" s="403"/>
      <c r="D121" s="404">
        <f>D119-D120</f>
        <v>9</v>
      </c>
      <c r="E121" s="432">
        <f>E119-E120</f>
        <v>6.300000000000011</v>
      </c>
      <c r="F121" s="432">
        <f>F119-F120</f>
        <v>14.300000000000011</v>
      </c>
      <c r="G121" s="447">
        <f>G119-G120</f>
        <v>21</v>
      </c>
      <c r="H121" s="67"/>
      <c r="I121" s="30"/>
    </row>
    <row r="122" spans="1:9" ht="14.25">
      <c r="A122" s="402" t="s">
        <v>112</v>
      </c>
      <c r="B122" s="403"/>
      <c r="C122" s="403"/>
      <c r="D122" s="404">
        <v>75</v>
      </c>
      <c r="E122" s="405">
        <v>84.1</v>
      </c>
      <c r="F122" s="405">
        <v>73.5</v>
      </c>
      <c r="G122" s="406">
        <v>81.8</v>
      </c>
      <c r="H122" s="67"/>
      <c r="I122" s="30"/>
    </row>
    <row r="123" spans="1:9" ht="14.25">
      <c r="A123" s="402" t="s">
        <v>113</v>
      </c>
      <c r="B123" s="403"/>
      <c r="C123" s="403"/>
      <c r="D123" s="404">
        <f>D120-D122</f>
        <v>132.5</v>
      </c>
      <c r="E123" s="432">
        <f>E120-E122</f>
        <v>52.099999999999994</v>
      </c>
      <c r="F123" s="432">
        <f>F120-F122</f>
        <v>82.5</v>
      </c>
      <c r="G123" s="447">
        <f>G120-G122</f>
        <v>89.7</v>
      </c>
      <c r="H123" s="66"/>
      <c r="I123" s="29"/>
    </row>
    <row r="124" spans="1:9" ht="14.25">
      <c r="A124" s="402" t="s">
        <v>114</v>
      </c>
      <c r="B124" s="403"/>
      <c r="C124" s="403"/>
      <c r="D124" s="433">
        <f>D121*100/D123</f>
        <v>6.7924528301886795</v>
      </c>
      <c r="E124" s="434">
        <f>E121*100/E123</f>
        <v>12.092130518234189</v>
      </c>
      <c r="F124" s="434">
        <f>F121*100/F123</f>
        <v>17.333333333333346</v>
      </c>
      <c r="G124" s="448">
        <f>G121*100/G123</f>
        <v>23.411371237458194</v>
      </c>
      <c r="H124" s="109"/>
      <c r="I124" s="28"/>
    </row>
    <row r="125" spans="1:9" ht="17.25" thickBot="1">
      <c r="A125" s="407" t="s">
        <v>226</v>
      </c>
      <c r="B125" s="408"/>
      <c r="C125" s="408"/>
      <c r="D125" s="436">
        <f>(100*D117)/(100+D124)</f>
        <v>1.5060879961900069</v>
      </c>
      <c r="E125" s="437">
        <f>(100*E117)/(100+E124)</f>
        <v>1.6539175370870074</v>
      </c>
      <c r="F125" s="437">
        <f>(100*F117)/(100+F124)</f>
        <v>1.75635656756062</v>
      </c>
      <c r="G125" s="438">
        <f>(100*G117)/(100+G124)</f>
        <v>1.5984485669550381</v>
      </c>
      <c r="H125" s="95"/>
      <c r="I125" s="95"/>
    </row>
    <row r="126" spans="1:9" ht="12.75" thickTop="1">
      <c r="A126" s="102"/>
      <c r="B126" s="93"/>
      <c r="C126" s="93"/>
      <c r="D126" s="93"/>
      <c r="E126" s="93"/>
      <c r="F126" s="93"/>
      <c r="G126" s="103"/>
      <c r="H126" s="95"/>
      <c r="I126" s="95"/>
    </row>
    <row r="127" spans="1:9" ht="12">
      <c r="A127" s="102"/>
      <c r="B127" s="93"/>
      <c r="C127" s="93"/>
      <c r="D127" s="107"/>
      <c r="E127" s="93"/>
      <c r="F127" s="93"/>
      <c r="G127" s="103"/>
      <c r="H127" s="95"/>
      <c r="I127" s="95"/>
    </row>
    <row r="128" spans="1:9" ht="12">
      <c r="A128" s="102"/>
      <c r="B128" s="93"/>
      <c r="C128" s="93"/>
      <c r="D128" s="93"/>
      <c r="E128" s="93"/>
      <c r="F128" s="93"/>
      <c r="G128" s="103"/>
      <c r="H128" s="95"/>
      <c r="I128" s="95"/>
    </row>
    <row r="129" spans="1:9" ht="12">
      <c r="A129" s="102"/>
      <c r="B129" s="93"/>
      <c r="C129" s="93"/>
      <c r="D129" s="93"/>
      <c r="E129" s="93"/>
      <c r="F129" s="93"/>
      <c r="G129" s="103"/>
      <c r="H129" s="95"/>
      <c r="I129" s="95"/>
    </row>
    <row r="130" spans="1:9" ht="12">
      <c r="A130" s="102"/>
      <c r="B130" s="93"/>
      <c r="C130" s="93"/>
      <c r="D130" s="93"/>
      <c r="E130" s="93"/>
      <c r="F130" s="93"/>
      <c r="G130" s="103"/>
      <c r="H130" s="95"/>
      <c r="I130" s="95"/>
    </row>
    <row r="131" spans="1:9" ht="12">
      <c r="A131" s="102"/>
      <c r="B131" s="93"/>
      <c r="C131" s="93"/>
      <c r="D131" s="93"/>
      <c r="E131" s="93"/>
      <c r="F131" s="93"/>
      <c r="G131" s="103"/>
      <c r="H131" s="95"/>
      <c r="I131" s="95"/>
    </row>
    <row r="132" spans="1:9" ht="12">
      <c r="A132" s="102"/>
      <c r="B132" s="93"/>
      <c r="C132" s="93"/>
      <c r="D132" s="93"/>
      <c r="E132" s="93"/>
      <c r="F132" s="93"/>
      <c r="G132" s="103"/>
      <c r="H132" s="95"/>
      <c r="I132" s="95"/>
    </row>
    <row r="133" spans="1:9" ht="12">
      <c r="A133" s="102"/>
      <c r="B133" s="93"/>
      <c r="C133" s="93"/>
      <c r="D133" s="93"/>
      <c r="E133" s="93"/>
      <c r="F133" s="93"/>
      <c r="G133" s="103"/>
      <c r="H133" s="95"/>
      <c r="I133" s="95"/>
    </row>
    <row r="134" spans="1:9" ht="12">
      <c r="A134" s="102"/>
      <c r="B134" s="93"/>
      <c r="C134" s="93"/>
      <c r="D134" s="93"/>
      <c r="E134" s="93"/>
      <c r="F134" s="93"/>
      <c r="G134" s="103"/>
      <c r="H134" s="95"/>
      <c r="I134" s="95"/>
    </row>
    <row r="135" spans="1:9" ht="12">
      <c r="A135" s="102"/>
      <c r="B135" s="93"/>
      <c r="C135" s="93"/>
      <c r="D135" s="93"/>
      <c r="E135" s="93"/>
      <c r="F135" s="93"/>
      <c r="G135" s="103"/>
      <c r="H135" s="95"/>
      <c r="I135" s="95"/>
    </row>
    <row r="136" spans="1:9" ht="12">
      <c r="A136" s="102"/>
      <c r="B136" s="93"/>
      <c r="C136" s="93"/>
      <c r="D136" s="93"/>
      <c r="E136" s="93"/>
      <c r="F136" s="93"/>
      <c r="G136" s="103"/>
      <c r="H136" s="95"/>
      <c r="I136" s="95"/>
    </row>
    <row r="137" spans="1:9" ht="12">
      <c r="A137" s="102"/>
      <c r="B137" s="93"/>
      <c r="C137" s="93"/>
      <c r="D137" s="93"/>
      <c r="E137" s="93"/>
      <c r="F137" s="93"/>
      <c r="G137" s="103"/>
      <c r="H137" s="95"/>
      <c r="I137" s="95"/>
    </row>
    <row r="138" spans="1:9" ht="12">
      <c r="A138" s="102"/>
      <c r="B138" s="93"/>
      <c r="C138" s="93"/>
      <c r="D138" s="93"/>
      <c r="E138" s="93"/>
      <c r="F138" s="93"/>
      <c r="G138" s="103"/>
      <c r="H138" s="95"/>
      <c r="I138" s="95"/>
    </row>
    <row r="139" spans="1:9" ht="12">
      <c r="A139" s="102"/>
      <c r="B139" s="93"/>
      <c r="C139" s="93"/>
      <c r="D139" s="93"/>
      <c r="E139" s="93"/>
      <c r="F139" s="93"/>
      <c r="G139" s="103"/>
      <c r="H139" s="95"/>
      <c r="I139" s="95"/>
    </row>
    <row r="140" spans="1:9" ht="12">
      <c r="A140" s="102"/>
      <c r="B140" s="93"/>
      <c r="C140" s="93"/>
      <c r="D140" s="93"/>
      <c r="E140" s="93"/>
      <c r="F140" s="93"/>
      <c r="G140" s="103"/>
      <c r="H140" s="95"/>
      <c r="I140" s="95"/>
    </row>
    <row r="141" spans="1:9" ht="12">
      <c r="A141" s="102"/>
      <c r="B141" s="93"/>
      <c r="C141" s="93"/>
      <c r="D141" s="93"/>
      <c r="E141" s="93"/>
      <c r="F141" s="93"/>
      <c r="G141" s="103"/>
      <c r="H141" s="95"/>
      <c r="I141" s="95"/>
    </row>
    <row r="142" spans="1:9" ht="12">
      <c r="A142" s="102"/>
      <c r="B142" s="93"/>
      <c r="C142" s="93"/>
      <c r="D142" s="93"/>
      <c r="E142" s="93"/>
      <c r="F142" s="93"/>
      <c r="G142" s="103"/>
      <c r="H142" s="95"/>
      <c r="I142" s="95"/>
    </row>
    <row r="143" spans="1:9" ht="12">
      <c r="A143" s="102"/>
      <c r="B143" s="93"/>
      <c r="C143" s="93"/>
      <c r="D143" s="93"/>
      <c r="E143" s="93"/>
      <c r="F143" s="93"/>
      <c r="G143" s="103"/>
      <c r="H143" s="95"/>
      <c r="I143" s="95"/>
    </row>
    <row r="144" spans="1:9" ht="12">
      <c r="A144" s="102"/>
      <c r="B144" s="93"/>
      <c r="C144" s="93"/>
      <c r="D144" s="93"/>
      <c r="E144" s="93"/>
      <c r="F144" s="93"/>
      <c r="G144" s="103"/>
      <c r="H144" s="95"/>
      <c r="I144" s="95"/>
    </row>
    <row r="145" spans="1:9" ht="12">
      <c r="A145" s="102"/>
      <c r="B145" s="93"/>
      <c r="C145" s="93"/>
      <c r="D145" s="93"/>
      <c r="E145" s="93"/>
      <c r="F145" s="93"/>
      <c r="G145" s="103"/>
      <c r="H145" s="95"/>
      <c r="I145" s="95"/>
    </row>
    <row r="146" spans="1:9" ht="12">
      <c r="A146" s="102"/>
      <c r="B146" s="93"/>
      <c r="C146" s="93"/>
      <c r="D146" s="93"/>
      <c r="E146" s="93"/>
      <c r="F146" s="93"/>
      <c r="G146" s="103"/>
      <c r="H146" s="95"/>
      <c r="I146" s="95"/>
    </row>
    <row r="147" spans="1:9" ht="12">
      <c r="A147" s="102"/>
      <c r="B147" s="93"/>
      <c r="C147" s="93"/>
      <c r="D147" s="93"/>
      <c r="E147" s="93"/>
      <c r="F147" s="93"/>
      <c r="G147" s="103"/>
      <c r="H147" s="95"/>
      <c r="I147" s="95"/>
    </row>
    <row r="148" spans="1:9" ht="16.5">
      <c r="A148" s="662" t="s">
        <v>74</v>
      </c>
      <c r="B148" s="663"/>
      <c r="C148" s="441"/>
      <c r="D148" s="441" t="s">
        <v>75</v>
      </c>
      <c r="E148" s="441"/>
      <c r="F148" s="443">
        <v>1.755</v>
      </c>
      <c r="G148" s="439" t="s">
        <v>227</v>
      </c>
      <c r="H148" s="95"/>
      <c r="I148" s="95"/>
    </row>
    <row r="149" spans="1:7" ht="14.25">
      <c r="A149" s="445"/>
      <c r="B149" s="446"/>
      <c r="C149" s="442"/>
      <c r="D149" s="442" t="s">
        <v>76</v>
      </c>
      <c r="E149" s="442"/>
      <c r="F149" s="444">
        <v>17.5</v>
      </c>
      <c r="G149" s="440" t="s">
        <v>77</v>
      </c>
    </row>
    <row r="150" spans="1:7" ht="12">
      <c r="A150" s="99"/>
      <c r="B150" s="100"/>
      <c r="C150" s="100"/>
      <c r="D150" s="100"/>
      <c r="E150" s="100"/>
      <c r="F150" s="100"/>
      <c r="G150" s="101"/>
    </row>
    <row r="151" spans="1:7" ht="12.75" thickBot="1">
      <c r="A151" s="104"/>
      <c r="B151" s="105"/>
      <c r="C151" s="105"/>
      <c r="D151" s="105"/>
      <c r="E151" s="105"/>
      <c r="F151" s="105"/>
      <c r="G151" s="106"/>
    </row>
    <row r="152" spans="1:7" s="160" customFormat="1" ht="13.5" customHeight="1" thickBot="1">
      <c r="A152" s="649" t="s">
        <v>223</v>
      </c>
      <c r="B152" s="650"/>
      <c r="C152" s="650"/>
      <c r="D152" s="650"/>
      <c r="E152" s="650"/>
      <c r="F152" s="650"/>
      <c r="G152" s="651"/>
    </row>
    <row r="153" spans="1:7" ht="12.75" thickBot="1">
      <c r="A153" s="99"/>
      <c r="B153" s="100"/>
      <c r="C153" s="100"/>
      <c r="D153" s="100"/>
      <c r="E153" s="100"/>
      <c r="F153" s="100"/>
      <c r="G153" s="101"/>
    </row>
    <row r="154" spans="1:7" ht="13.5" thickTop="1">
      <c r="A154" s="640" t="s">
        <v>2</v>
      </c>
      <c r="B154" s="623"/>
      <c r="C154" s="652" t="s">
        <v>3</v>
      </c>
      <c r="D154" s="653"/>
      <c r="E154" s="100"/>
      <c r="F154" s="100"/>
      <c r="G154" s="101"/>
    </row>
    <row r="155" spans="1:7" ht="12.75">
      <c r="A155" s="641" t="s">
        <v>1</v>
      </c>
      <c r="B155" s="625"/>
      <c r="C155" s="654" t="s">
        <v>208</v>
      </c>
      <c r="D155" s="655"/>
      <c r="E155" s="100"/>
      <c r="F155" s="100"/>
      <c r="G155" s="101"/>
    </row>
    <row r="156" spans="1:7" ht="13.5" thickBot="1">
      <c r="A156" s="642" t="s">
        <v>4</v>
      </c>
      <c r="B156" s="627"/>
      <c r="C156" s="656" t="s">
        <v>68</v>
      </c>
      <c r="D156" s="657"/>
      <c r="E156" s="100"/>
      <c r="F156" s="100"/>
      <c r="G156" s="101"/>
    </row>
    <row r="157" spans="1:7" ht="12.75" thickTop="1">
      <c r="A157" s="99"/>
      <c r="B157" s="100"/>
      <c r="C157" s="100"/>
      <c r="D157" s="100"/>
      <c r="E157" s="100"/>
      <c r="F157" s="100"/>
      <c r="G157" s="101"/>
    </row>
    <row r="158" spans="1:9" ht="12.75" thickBot="1">
      <c r="A158" s="99"/>
      <c r="B158" s="100"/>
      <c r="C158" s="100"/>
      <c r="D158" s="100"/>
      <c r="E158" s="100"/>
      <c r="F158" s="100"/>
      <c r="G158" s="101"/>
      <c r="I158" s="95"/>
    </row>
    <row r="159" spans="1:9" ht="15" thickBot="1">
      <c r="A159" s="399" t="s">
        <v>71</v>
      </c>
      <c r="B159" s="395">
        <v>1</v>
      </c>
      <c r="C159" s="399" t="s">
        <v>224</v>
      </c>
      <c r="D159" s="395">
        <v>2122</v>
      </c>
      <c r="E159" s="394" t="s">
        <v>72</v>
      </c>
      <c r="F159" s="399" t="s">
        <v>73</v>
      </c>
      <c r="G159" s="395">
        <v>2527</v>
      </c>
      <c r="H159" s="95"/>
      <c r="I159" s="95"/>
    </row>
    <row r="160" spans="1:9" ht="12.75" thickBot="1">
      <c r="A160" s="102"/>
      <c r="B160" s="93"/>
      <c r="C160" s="93"/>
      <c r="D160" s="93"/>
      <c r="E160" s="93"/>
      <c r="F160" s="93"/>
      <c r="G160" s="103"/>
      <c r="H160" s="30"/>
      <c r="I160" s="30"/>
    </row>
    <row r="161" spans="1:9" ht="15" thickTop="1">
      <c r="A161" s="410" t="s">
        <v>102</v>
      </c>
      <c r="B161" s="411"/>
      <c r="C161" s="411"/>
      <c r="D161" s="419">
        <v>5</v>
      </c>
      <c r="E161" s="420">
        <v>5</v>
      </c>
      <c r="F161" s="420">
        <v>5</v>
      </c>
      <c r="G161" s="421">
        <v>5</v>
      </c>
      <c r="H161" s="110"/>
      <c r="I161" s="30"/>
    </row>
    <row r="162" spans="1:9" ht="14.25">
      <c r="A162" s="412" t="s">
        <v>103</v>
      </c>
      <c r="B162" s="413"/>
      <c r="C162" s="413"/>
      <c r="D162" s="414">
        <v>56</v>
      </c>
      <c r="E162" s="415">
        <v>56</v>
      </c>
      <c r="F162" s="415">
        <v>56</v>
      </c>
      <c r="G162" s="416">
        <v>56</v>
      </c>
      <c r="H162" s="110"/>
      <c r="I162" s="30"/>
    </row>
    <row r="163" spans="1:9" ht="14.25">
      <c r="A163" s="412" t="s">
        <v>104</v>
      </c>
      <c r="B163" s="413"/>
      <c r="C163" s="413"/>
      <c r="D163" s="414">
        <v>6559</v>
      </c>
      <c r="E163" s="415">
        <v>7060</v>
      </c>
      <c r="F163" s="415">
        <v>7067</v>
      </c>
      <c r="G163" s="416">
        <v>6976</v>
      </c>
      <c r="H163" s="110"/>
      <c r="I163" s="30"/>
    </row>
    <row r="164" spans="1:9" ht="14.25">
      <c r="A164" s="412" t="s">
        <v>105</v>
      </c>
      <c r="B164" s="413"/>
      <c r="C164" s="413"/>
      <c r="D164" s="414">
        <f>G159</f>
        <v>2527</v>
      </c>
      <c r="E164" s="415">
        <f aca="true" t="shared" si="2" ref="E164:G165">D164</f>
        <v>2527</v>
      </c>
      <c r="F164" s="415">
        <f t="shared" si="2"/>
        <v>2527</v>
      </c>
      <c r="G164" s="416">
        <f t="shared" si="2"/>
        <v>2527</v>
      </c>
      <c r="H164" s="110"/>
      <c r="I164" s="30"/>
    </row>
    <row r="165" spans="1:9" ht="14.25">
      <c r="A165" s="412" t="s">
        <v>106</v>
      </c>
      <c r="B165" s="413"/>
      <c r="C165" s="413"/>
      <c r="D165" s="414">
        <f>D159</f>
        <v>2122</v>
      </c>
      <c r="E165" s="415">
        <f t="shared" si="2"/>
        <v>2122</v>
      </c>
      <c r="F165" s="415">
        <f t="shared" si="2"/>
        <v>2122</v>
      </c>
      <c r="G165" s="416">
        <f t="shared" si="2"/>
        <v>2122</v>
      </c>
      <c r="H165" s="110"/>
      <c r="I165" s="30"/>
    </row>
    <row r="166" spans="1:9" ht="14.25">
      <c r="A166" s="422" t="s">
        <v>107</v>
      </c>
      <c r="B166" s="423"/>
      <c r="C166" s="413"/>
      <c r="D166" s="424">
        <f>D163-D164</f>
        <v>4032</v>
      </c>
      <c r="E166" s="415">
        <f>E163-E164</f>
        <v>4533</v>
      </c>
      <c r="F166" s="415">
        <f>F163-F164</f>
        <v>4540</v>
      </c>
      <c r="G166" s="416">
        <f>G163-G164</f>
        <v>4449</v>
      </c>
      <c r="H166" s="111"/>
      <c r="I166" s="28"/>
    </row>
    <row r="167" spans="1:9" ht="17.25" thickBot="1">
      <c r="A167" s="417" t="s">
        <v>225</v>
      </c>
      <c r="B167" s="418"/>
      <c r="C167" s="418"/>
      <c r="D167" s="425">
        <f>D166/D165</f>
        <v>1.9000942507068803</v>
      </c>
      <c r="E167" s="426">
        <f>E166/E165</f>
        <v>2.136192271442036</v>
      </c>
      <c r="F167" s="426">
        <f>F166/F165</f>
        <v>2.1394910461828465</v>
      </c>
      <c r="G167" s="427">
        <f>G166/G165</f>
        <v>2.096606974552309</v>
      </c>
      <c r="H167" s="110"/>
      <c r="I167" s="30"/>
    </row>
    <row r="168" spans="1:9" ht="15" thickTop="1">
      <c r="A168" s="400" t="s">
        <v>108</v>
      </c>
      <c r="B168" s="401"/>
      <c r="C168" s="401"/>
      <c r="D168" s="428">
        <v>62</v>
      </c>
      <c r="E168" s="429">
        <v>63</v>
      </c>
      <c r="F168" s="429">
        <v>64</v>
      </c>
      <c r="G168" s="430">
        <v>65</v>
      </c>
      <c r="H168" s="110"/>
      <c r="I168" s="30"/>
    </row>
    <row r="169" spans="1:9" ht="14.25">
      <c r="A169" s="402" t="s">
        <v>109</v>
      </c>
      <c r="B169" s="403"/>
      <c r="C169" s="403"/>
      <c r="D169" s="404">
        <v>215.3</v>
      </c>
      <c r="E169" s="405">
        <v>269.6</v>
      </c>
      <c r="F169" s="405">
        <v>195.5</v>
      </c>
      <c r="G169" s="406">
        <v>393.5</v>
      </c>
      <c r="H169" s="112"/>
      <c r="I169" s="29"/>
    </row>
    <row r="170" spans="1:9" ht="14.25">
      <c r="A170" s="402" t="s">
        <v>110</v>
      </c>
      <c r="B170" s="403"/>
      <c r="C170" s="403"/>
      <c r="D170" s="404">
        <v>203.4</v>
      </c>
      <c r="E170" s="431">
        <v>247.7</v>
      </c>
      <c r="F170" s="405">
        <v>180</v>
      </c>
      <c r="G170" s="406">
        <v>340.1</v>
      </c>
      <c r="H170" s="110"/>
      <c r="I170" s="30"/>
    </row>
    <row r="171" spans="1:9" ht="14.25">
      <c r="A171" s="402" t="s">
        <v>111</v>
      </c>
      <c r="B171" s="403"/>
      <c r="C171" s="403"/>
      <c r="D171" s="404">
        <f>D169-D170</f>
        <v>11.900000000000006</v>
      </c>
      <c r="E171" s="432">
        <f>E169-E170</f>
        <v>21.900000000000034</v>
      </c>
      <c r="F171" s="432">
        <f>F169-F170</f>
        <v>15.5</v>
      </c>
      <c r="G171" s="406">
        <f>G169-G170</f>
        <v>53.39999999999998</v>
      </c>
      <c r="H171" s="110"/>
      <c r="I171" s="30"/>
    </row>
    <row r="172" spans="1:9" ht="14.25">
      <c r="A172" s="402" t="s">
        <v>112</v>
      </c>
      <c r="B172" s="403"/>
      <c r="C172" s="403"/>
      <c r="D172" s="404">
        <v>75.4</v>
      </c>
      <c r="E172" s="405">
        <v>79.1</v>
      </c>
      <c r="F172" s="405">
        <v>89.9</v>
      </c>
      <c r="G172" s="406">
        <v>70.4</v>
      </c>
      <c r="H172" s="110"/>
      <c r="I172" s="30"/>
    </row>
    <row r="173" spans="1:9" ht="14.25">
      <c r="A173" s="402" t="s">
        <v>113</v>
      </c>
      <c r="B173" s="403"/>
      <c r="C173" s="403"/>
      <c r="D173" s="404">
        <f>D170-D172</f>
        <v>128</v>
      </c>
      <c r="E173" s="432">
        <f>E170-E172</f>
        <v>168.6</v>
      </c>
      <c r="F173" s="432">
        <f>F170-F172</f>
        <v>90.1</v>
      </c>
      <c r="G173" s="406">
        <f>G170-G172</f>
        <v>269.70000000000005</v>
      </c>
      <c r="H173" s="112"/>
      <c r="I173" s="29"/>
    </row>
    <row r="174" spans="1:9" ht="14.25">
      <c r="A174" s="402" t="s">
        <v>114</v>
      </c>
      <c r="B174" s="403"/>
      <c r="C174" s="403"/>
      <c r="D174" s="433">
        <f>D171*100/D173</f>
        <v>9.296875000000004</v>
      </c>
      <c r="E174" s="434">
        <f>E171*100/E173</f>
        <v>12.989323843416392</v>
      </c>
      <c r="F174" s="434">
        <f>F171*100/F173</f>
        <v>17.203107658157602</v>
      </c>
      <c r="G174" s="435">
        <f>G171*100/G173</f>
        <v>19.799777530589534</v>
      </c>
      <c r="H174" s="111"/>
      <c r="I174" s="28"/>
    </row>
    <row r="175" spans="1:9" ht="17.25" thickBot="1">
      <c r="A175" s="407" t="s">
        <v>226</v>
      </c>
      <c r="B175" s="408"/>
      <c r="C175" s="408"/>
      <c r="D175" s="436">
        <f>(100*D167)/(100+D174)</f>
        <v>1.7384707940706268</v>
      </c>
      <c r="E175" s="437">
        <f>(100*E167)/(100+E174)</f>
        <v>1.8906142622841322</v>
      </c>
      <c r="F175" s="437">
        <f>(100*F167)/(100+F174)</f>
        <v>1.8254559020935082</v>
      </c>
      <c r="G175" s="438">
        <f>(100*G167)/(100+G174)</f>
        <v>1.7500925442177586</v>
      </c>
      <c r="H175" s="95"/>
      <c r="I175" s="95"/>
    </row>
    <row r="176" spans="1:9" ht="12.75" thickTop="1">
      <c r="A176" s="102"/>
      <c r="B176" s="93"/>
      <c r="C176" s="93"/>
      <c r="D176" s="93"/>
      <c r="E176" s="93"/>
      <c r="F176" s="93"/>
      <c r="G176" s="103"/>
      <c r="H176" s="95"/>
      <c r="I176" s="95"/>
    </row>
    <row r="177" spans="1:9" ht="12">
      <c r="A177" s="102"/>
      <c r="B177" s="93"/>
      <c r="C177" s="93"/>
      <c r="D177" s="107"/>
      <c r="E177" s="93"/>
      <c r="F177" s="93"/>
      <c r="G177" s="103"/>
      <c r="H177" s="95"/>
      <c r="I177" s="95"/>
    </row>
    <row r="178" spans="1:9" ht="12">
      <c r="A178" s="102"/>
      <c r="B178" s="93"/>
      <c r="C178" s="93"/>
      <c r="D178" s="93"/>
      <c r="E178" s="93"/>
      <c r="F178" s="93"/>
      <c r="G178" s="103"/>
      <c r="H178" s="95"/>
      <c r="I178" s="95"/>
    </row>
    <row r="179" spans="1:9" ht="12">
      <c r="A179" s="102"/>
      <c r="B179" s="93"/>
      <c r="C179" s="93"/>
      <c r="D179" s="93"/>
      <c r="E179" s="93"/>
      <c r="F179" s="93"/>
      <c r="G179" s="103"/>
      <c r="H179" s="95"/>
      <c r="I179" s="95"/>
    </row>
    <row r="180" spans="1:9" ht="12">
      <c r="A180" s="102"/>
      <c r="B180" s="93"/>
      <c r="C180" s="93"/>
      <c r="D180" s="93"/>
      <c r="E180" s="93"/>
      <c r="F180" s="93"/>
      <c r="G180" s="103"/>
      <c r="H180" s="95"/>
      <c r="I180" s="95"/>
    </row>
    <row r="181" spans="1:9" ht="12">
      <c r="A181" s="102"/>
      <c r="B181" s="93"/>
      <c r="C181" s="93"/>
      <c r="D181" s="93"/>
      <c r="E181" s="93"/>
      <c r="F181" s="93"/>
      <c r="G181" s="103"/>
      <c r="H181" s="95"/>
      <c r="I181" s="95"/>
    </row>
    <row r="182" spans="1:9" ht="12">
      <c r="A182" s="102"/>
      <c r="B182" s="93"/>
      <c r="C182" s="93"/>
      <c r="D182" s="93"/>
      <c r="E182" s="93"/>
      <c r="F182" s="93"/>
      <c r="G182" s="103"/>
      <c r="H182" s="95"/>
      <c r="I182" s="95"/>
    </row>
    <row r="183" spans="1:9" ht="12">
      <c r="A183" s="102"/>
      <c r="B183" s="93"/>
      <c r="C183" s="93"/>
      <c r="D183" s="93"/>
      <c r="E183" s="93"/>
      <c r="F183" s="93"/>
      <c r="G183" s="103"/>
      <c r="H183" s="95"/>
      <c r="I183" s="95"/>
    </row>
    <row r="184" spans="1:9" ht="12">
      <c r="A184" s="102"/>
      <c r="B184" s="93"/>
      <c r="C184" s="93"/>
      <c r="D184" s="93"/>
      <c r="E184" s="93"/>
      <c r="F184" s="93"/>
      <c r="G184" s="103"/>
      <c r="H184" s="95"/>
      <c r="I184" s="95"/>
    </row>
    <row r="185" spans="1:9" ht="12">
      <c r="A185" s="102"/>
      <c r="B185" s="93"/>
      <c r="C185" s="93"/>
      <c r="D185" s="93"/>
      <c r="E185" s="93"/>
      <c r="F185" s="93"/>
      <c r="G185" s="103"/>
      <c r="H185" s="95"/>
      <c r="I185" s="95"/>
    </row>
    <row r="186" spans="1:9" ht="12">
      <c r="A186" s="102"/>
      <c r="B186" s="93"/>
      <c r="C186" s="93"/>
      <c r="D186" s="93"/>
      <c r="E186" s="93"/>
      <c r="F186" s="93"/>
      <c r="G186" s="103"/>
      <c r="H186" s="95"/>
      <c r="I186" s="95"/>
    </row>
    <row r="187" spans="1:9" ht="12">
      <c r="A187" s="102"/>
      <c r="B187" s="93"/>
      <c r="C187" s="93"/>
      <c r="D187" s="93"/>
      <c r="E187" s="93"/>
      <c r="F187" s="93"/>
      <c r="G187" s="103"/>
      <c r="H187" s="95"/>
      <c r="I187" s="95"/>
    </row>
    <row r="188" spans="1:9" ht="12">
      <c r="A188" s="102"/>
      <c r="B188" s="93"/>
      <c r="C188" s="93"/>
      <c r="D188" s="93"/>
      <c r="E188" s="93"/>
      <c r="F188" s="93"/>
      <c r="G188" s="103"/>
      <c r="H188" s="95"/>
      <c r="I188" s="95"/>
    </row>
    <row r="189" spans="1:9" ht="12">
      <c r="A189" s="102"/>
      <c r="B189" s="93"/>
      <c r="C189" s="93"/>
      <c r="D189" s="93"/>
      <c r="E189" s="93"/>
      <c r="F189" s="93"/>
      <c r="G189" s="103"/>
      <c r="H189" s="95"/>
      <c r="I189" s="95"/>
    </row>
    <row r="190" spans="1:9" ht="12">
      <c r="A190" s="102"/>
      <c r="B190" s="93"/>
      <c r="C190" s="93"/>
      <c r="D190" s="93"/>
      <c r="E190" s="93"/>
      <c r="F190" s="93"/>
      <c r="G190" s="103"/>
      <c r="H190" s="95"/>
      <c r="I190" s="95"/>
    </row>
    <row r="191" spans="1:9" ht="12">
      <c r="A191" s="102"/>
      <c r="B191" s="93"/>
      <c r="C191" s="93"/>
      <c r="D191" s="93"/>
      <c r="E191" s="93"/>
      <c r="F191" s="93"/>
      <c r="G191" s="103"/>
      <c r="H191" s="95"/>
      <c r="I191" s="95"/>
    </row>
    <row r="192" spans="1:9" ht="12">
      <c r="A192" s="102"/>
      <c r="B192" s="93"/>
      <c r="C192" s="93"/>
      <c r="D192" s="93"/>
      <c r="E192" s="93"/>
      <c r="F192" s="93"/>
      <c r="G192" s="103"/>
      <c r="H192" s="95"/>
      <c r="I192" s="95"/>
    </row>
    <row r="193" spans="1:9" ht="12">
      <c r="A193" s="102"/>
      <c r="B193" s="93"/>
      <c r="C193" s="93"/>
      <c r="D193" s="93"/>
      <c r="E193" s="93"/>
      <c r="F193" s="93"/>
      <c r="G193" s="103"/>
      <c r="H193" s="95"/>
      <c r="I193" s="95"/>
    </row>
    <row r="194" spans="1:9" ht="12">
      <c r="A194" s="102"/>
      <c r="B194" s="93"/>
      <c r="C194" s="93"/>
      <c r="D194" s="93"/>
      <c r="E194" s="93"/>
      <c r="F194" s="93"/>
      <c r="G194" s="103"/>
      <c r="H194" s="95"/>
      <c r="I194" s="95"/>
    </row>
    <row r="195" spans="1:9" ht="12">
      <c r="A195" s="102"/>
      <c r="B195" s="93"/>
      <c r="C195" s="93"/>
      <c r="D195" s="93"/>
      <c r="E195" s="93"/>
      <c r="F195" s="93"/>
      <c r="G195" s="103"/>
      <c r="H195" s="95"/>
      <c r="I195" s="95"/>
    </row>
    <row r="196" spans="1:9" ht="12">
      <c r="A196" s="102"/>
      <c r="B196" s="93"/>
      <c r="C196" s="93"/>
      <c r="D196" s="93"/>
      <c r="E196" s="93"/>
      <c r="F196" s="93"/>
      <c r="G196" s="103"/>
      <c r="H196" s="95"/>
      <c r="I196" s="95"/>
    </row>
    <row r="197" spans="1:9" ht="12">
      <c r="A197" s="102"/>
      <c r="B197" s="93"/>
      <c r="C197" s="93"/>
      <c r="D197" s="93"/>
      <c r="E197" s="93"/>
      <c r="F197" s="93"/>
      <c r="G197" s="103"/>
      <c r="H197" s="95"/>
      <c r="I197" s="95"/>
    </row>
    <row r="198" spans="1:9" ht="16.5">
      <c r="A198" s="658" t="s">
        <v>74</v>
      </c>
      <c r="B198" s="659"/>
      <c r="C198" s="449"/>
      <c r="D198" s="441" t="s">
        <v>75</v>
      </c>
      <c r="E198" s="441"/>
      <c r="F198" s="443">
        <v>1.89</v>
      </c>
      <c r="G198" s="439" t="s">
        <v>227</v>
      </c>
      <c r="H198" s="95"/>
      <c r="I198" s="95"/>
    </row>
    <row r="199" spans="1:7" ht="14.25">
      <c r="A199" s="396"/>
      <c r="B199" s="397"/>
      <c r="C199" s="450"/>
      <c r="D199" s="442" t="s">
        <v>76</v>
      </c>
      <c r="E199" s="442"/>
      <c r="F199" s="444">
        <v>13.3</v>
      </c>
      <c r="G199" s="440" t="s">
        <v>77</v>
      </c>
    </row>
    <row r="200" spans="1:7" ht="12">
      <c r="A200" s="99"/>
      <c r="B200" s="100"/>
      <c r="C200" s="100"/>
      <c r="D200" s="100"/>
      <c r="E200" s="100"/>
      <c r="F200" s="100"/>
      <c r="G200" s="101"/>
    </row>
    <row r="201" spans="1:7" ht="12.75" thickBot="1">
      <c r="A201" s="104"/>
      <c r="B201" s="105"/>
      <c r="C201" s="105"/>
      <c r="D201" s="105"/>
      <c r="E201" s="105"/>
      <c r="F201" s="105"/>
      <c r="G201" s="106"/>
    </row>
    <row r="202" spans="1:7" s="160" customFormat="1" ht="12.75" thickBot="1">
      <c r="A202" s="649" t="s">
        <v>223</v>
      </c>
      <c r="B202" s="650"/>
      <c r="C202" s="650"/>
      <c r="D202" s="650"/>
      <c r="E202" s="650"/>
      <c r="F202" s="650"/>
      <c r="G202" s="651"/>
    </row>
    <row r="203" spans="1:7" ht="13.5" customHeight="1" thickBot="1">
      <c r="A203" s="99"/>
      <c r="B203" s="100"/>
      <c r="C203" s="100"/>
      <c r="D203" s="100"/>
      <c r="E203" s="100"/>
      <c r="F203" s="100"/>
      <c r="G203" s="101"/>
    </row>
    <row r="204" spans="1:7" ht="13.5" thickTop="1">
      <c r="A204" s="640" t="s">
        <v>2</v>
      </c>
      <c r="B204" s="623"/>
      <c r="C204" s="652" t="s">
        <v>3</v>
      </c>
      <c r="D204" s="653"/>
      <c r="E204" s="100"/>
      <c r="F204" s="100"/>
      <c r="G204" s="101"/>
    </row>
    <row r="205" spans="1:7" ht="12.75">
      <c r="A205" s="641" t="s">
        <v>1</v>
      </c>
      <c r="B205" s="625"/>
      <c r="C205" s="654" t="s">
        <v>207</v>
      </c>
      <c r="D205" s="655"/>
      <c r="E205" s="100"/>
      <c r="F205" s="100"/>
      <c r="G205" s="101"/>
    </row>
    <row r="206" spans="1:7" ht="13.5" thickBot="1">
      <c r="A206" s="642" t="s">
        <v>4</v>
      </c>
      <c r="B206" s="627"/>
      <c r="C206" s="656" t="s">
        <v>69</v>
      </c>
      <c r="D206" s="657"/>
      <c r="E206" s="100"/>
      <c r="F206" s="100"/>
      <c r="G206" s="101"/>
    </row>
    <row r="207" spans="1:7" ht="12.75" thickTop="1">
      <c r="A207" s="99"/>
      <c r="B207" s="100"/>
      <c r="C207" s="100"/>
      <c r="D207" s="100"/>
      <c r="E207" s="100"/>
      <c r="F207" s="100"/>
      <c r="G207" s="101"/>
    </row>
    <row r="208" spans="1:7" ht="12.75" thickBot="1">
      <c r="A208" s="104"/>
      <c r="B208" s="105"/>
      <c r="C208" s="105"/>
      <c r="D208" s="105"/>
      <c r="E208" s="105"/>
      <c r="F208" s="105"/>
      <c r="G208" s="106"/>
    </row>
    <row r="209" spans="1:9" ht="15" thickBot="1">
      <c r="A209" s="451" t="s">
        <v>71</v>
      </c>
      <c r="B209" s="394">
        <v>5</v>
      </c>
      <c r="C209" s="399" t="s">
        <v>228</v>
      </c>
      <c r="D209" s="394">
        <v>2125</v>
      </c>
      <c r="E209" s="394" t="s">
        <v>72</v>
      </c>
      <c r="F209" s="399" t="s">
        <v>73</v>
      </c>
      <c r="G209" s="395">
        <v>2532</v>
      </c>
      <c r="H209" s="95"/>
      <c r="I209" s="95"/>
    </row>
    <row r="210" spans="1:9" ht="12.75" thickBot="1">
      <c r="A210" s="102"/>
      <c r="B210" s="93"/>
      <c r="C210" s="93"/>
      <c r="D210" s="93"/>
      <c r="E210" s="93"/>
      <c r="F210" s="93"/>
      <c r="G210" s="103"/>
      <c r="H210" s="30"/>
      <c r="I210" s="30"/>
    </row>
    <row r="211" spans="1:9" ht="15" thickTop="1">
      <c r="A211" s="410" t="s">
        <v>102</v>
      </c>
      <c r="B211" s="411"/>
      <c r="C211" s="411"/>
      <c r="D211" s="419">
        <v>5</v>
      </c>
      <c r="E211" s="420">
        <v>5</v>
      </c>
      <c r="F211" s="420">
        <v>5</v>
      </c>
      <c r="G211" s="421">
        <v>5</v>
      </c>
      <c r="H211" s="30"/>
      <c r="I211" s="30"/>
    </row>
    <row r="212" spans="1:9" ht="14.25">
      <c r="A212" s="412" t="s">
        <v>103</v>
      </c>
      <c r="B212" s="413"/>
      <c r="C212" s="413"/>
      <c r="D212" s="414">
        <v>56</v>
      </c>
      <c r="E212" s="415">
        <v>56</v>
      </c>
      <c r="F212" s="415">
        <v>56</v>
      </c>
      <c r="G212" s="416">
        <v>56</v>
      </c>
      <c r="H212" s="30"/>
      <c r="I212" s="30"/>
    </row>
    <row r="213" spans="1:9" ht="14.25">
      <c r="A213" s="412" t="s">
        <v>104</v>
      </c>
      <c r="B213" s="413"/>
      <c r="C213" s="413"/>
      <c r="D213" s="414">
        <v>6166</v>
      </c>
      <c r="E213" s="415">
        <v>6555</v>
      </c>
      <c r="F213" s="415">
        <v>6799</v>
      </c>
      <c r="G213" s="416">
        <v>6810</v>
      </c>
      <c r="H213" s="30"/>
      <c r="I213" s="30"/>
    </row>
    <row r="214" spans="1:9" ht="14.25">
      <c r="A214" s="412" t="s">
        <v>105</v>
      </c>
      <c r="B214" s="413"/>
      <c r="C214" s="413"/>
      <c r="D214" s="414">
        <f>G209</f>
        <v>2532</v>
      </c>
      <c r="E214" s="415">
        <f aca="true" t="shared" si="3" ref="E214:G215">D214</f>
        <v>2532</v>
      </c>
      <c r="F214" s="415">
        <f t="shared" si="3"/>
        <v>2532</v>
      </c>
      <c r="G214" s="416">
        <f t="shared" si="3"/>
        <v>2532</v>
      </c>
      <c r="H214" s="30"/>
      <c r="I214" s="30"/>
    </row>
    <row r="215" spans="1:9" ht="14.25">
      <c r="A215" s="412" t="s">
        <v>106</v>
      </c>
      <c r="B215" s="413"/>
      <c r="C215" s="413"/>
      <c r="D215" s="414">
        <f>D209</f>
        <v>2125</v>
      </c>
      <c r="E215" s="415">
        <f t="shared" si="3"/>
        <v>2125</v>
      </c>
      <c r="F215" s="415">
        <f t="shared" si="3"/>
        <v>2125</v>
      </c>
      <c r="G215" s="416">
        <f t="shared" si="3"/>
        <v>2125</v>
      </c>
      <c r="H215" s="30"/>
      <c r="I215" s="30"/>
    </row>
    <row r="216" spans="1:9" ht="14.25">
      <c r="A216" s="422" t="s">
        <v>107</v>
      </c>
      <c r="B216" s="423"/>
      <c r="C216" s="413"/>
      <c r="D216" s="424">
        <f>D213-D214</f>
        <v>3634</v>
      </c>
      <c r="E216" s="415">
        <f>E213-E214</f>
        <v>4023</v>
      </c>
      <c r="F216" s="415">
        <f>F213-F214</f>
        <v>4267</v>
      </c>
      <c r="G216" s="416">
        <f>G213-G214</f>
        <v>4278</v>
      </c>
      <c r="H216" s="28"/>
      <c r="I216" s="28"/>
    </row>
    <row r="217" spans="1:9" ht="17.25" thickBot="1">
      <c r="A217" s="417" t="s">
        <v>225</v>
      </c>
      <c r="B217" s="418"/>
      <c r="C217" s="418"/>
      <c r="D217" s="425">
        <f>D216/D215</f>
        <v>1.7101176470588235</v>
      </c>
      <c r="E217" s="426">
        <f>E216/E215</f>
        <v>1.8931764705882352</v>
      </c>
      <c r="F217" s="426">
        <f>F216/F215</f>
        <v>2.008</v>
      </c>
      <c r="G217" s="427">
        <f>G216/G215</f>
        <v>2.013176470588235</v>
      </c>
      <c r="H217" s="30"/>
      <c r="I217" s="30"/>
    </row>
    <row r="218" spans="1:9" ht="15" thickTop="1">
      <c r="A218" s="400" t="s">
        <v>108</v>
      </c>
      <c r="B218" s="401"/>
      <c r="C218" s="401"/>
      <c r="D218" s="428">
        <v>66</v>
      </c>
      <c r="E218" s="429">
        <v>67</v>
      </c>
      <c r="F218" s="429">
        <v>68</v>
      </c>
      <c r="G218" s="430">
        <v>69</v>
      </c>
      <c r="H218" s="30"/>
      <c r="I218" s="30"/>
    </row>
    <row r="219" spans="1:9" ht="14.25">
      <c r="A219" s="402" t="s">
        <v>109</v>
      </c>
      <c r="B219" s="403"/>
      <c r="C219" s="403"/>
      <c r="D219" s="404">
        <v>155.5</v>
      </c>
      <c r="E219" s="405">
        <v>143.3</v>
      </c>
      <c r="F219" s="405">
        <v>136</v>
      </c>
      <c r="G219" s="406">
        <v>185</v>
      </c>
      <c r="H219" s="29"/>
      <c r="I219" s="29"/>
    </row>
    <row r="220" spans="1:9" ht="14.25">
      <c r="A220" s="402" t="s">
        <v>110</v>
      </c>
      <c r="B220" s="403"/>
      <c r="C220" s="403"/>
      <c r="D220" s="404">
        <v>150.5</v>
      </c>
      <c r="E220" s="431">
        <v>137</v>
      </c>
      <c r="F220" s="405">
        <v>128.5</v>
      </c>
      <c r="G220" s="406">
        <v>167.7</v>
      </c>
      <c r="H220" s="30"/>
      <c r="I220" s="30"/>
    </row>
    <row r="221" spans="1:9" ht="14.25">
      <c r="A221" s="402" t="s">
        <v>111</v>
      </c>
      <c r="B221" s="403"/>
      <c r="C221" s="403"/>
      <c r="D221" s="404">
        <f>D219-D220</f>
        <v>5</v>
      </c>
      <c r="E221" s="432">
        <f>E219-E220</f>
        <v>6.300000000000011</v>
      </c>
      <c r="F221" s="432">
        <f>F219-F220</f>
        <v>7.5</v>
      </c>
      <c r="G221" s="406">
        <f>G219-G220</f>
        <v>17.30000000000001</v>
      </c>
      <c r="H221" s="30"/>
      <c r="I221" s="30"/>
    </row>
    <row r="222" spans="1:9" ht="14.25">
      <c r="A222" s="402" t="s">
        <v>112</v>
      </c>
      <c r="B222" s="403"/>
      <c r="C222" s="403"/>
      <c r="D222" s="404">
        <v>72.6</v>
      </c>
      <c r="E222" s="405">
        <v>72.7</v>
      </c>
      <c r="F222" s="405">
        <v>75.1</v>
      </c>
      <c r="G222" s="406">
        <v>73.4</v>
      </c>
      <c r="H222" s="30"/>
      <c r="I222" s="30"/>
    </row>
    <row r="223" spans="1:9" ht="14.25">
      <c r="A223" s="402" t="s">
        <v>113</v>
      </c>
      <c r="B223" s="403"/>
      <c r="C223" s="403"/>
      <c r="D223" s="404">
        <f>D220-D222</f>
        <v>77.9</v>
      </c>
      <c r="E223" s="432">
        <f>E220-E222</f>
        <v>64.3</v>
      </c>
      <c r="F223" s="432">
        <f>F220-F222</f>
        <v>53.400000000000006</v>
      </c>
      <c r="G223" s="406">
        <f>G220-G222</f>
        <v>94.29999999999998</v>
      </c>
      <c r="H223" s="29"/>
      <c r="I223" s="29"/>
    </row>
    <row r="224" spans="1:9" ht="14.25">
      <c r="A224" s="402" t="s">
        <v>114</v>
      </c>
      <c r="B224" s="403"/>
      <c r="C224" s="403"/>
      <c r="D224" s="433">
        <f>D221*100/D223</f>
        <v>6.418485237483953</v>
      </c>
      <c r="E224" s="434">
        <f>E221*100/E223</f>
        <v>9.797822706065338</v>
      </c>
      <c r="F224" s="434">
        <f>F221*100/F223</f>
        <v>14.044943820224718</v>
      </c>
      <c r="G224" s="435">
        <f>G221*100/G223</f>
        <v>18.34570519618241</v>
      </c>
      <c r="H224" s="28"/>
      <c r="I224" s="28"/>
    </row>
    <row r="225" spans="1:9" ht="17.25" thickBot="1">
      <c r="A225" s="407" t="s">
        <v>226</v>
      </c>
      <c r="B225" s="408"/>
      <c r="C225" s="408"/>
      <c r="D225" s="436">
        <f>(100*D217)/(100+D224)</f>
        <v>1.6069742425317532</v>
      </c>
      <c r="E225" s="437">
        <f>(100*E217)/(100+E224)</f>
        <v>1.7242386268955172</v>
      </c>
      <c r="F225" s="437">
        <f>(100*F217)/(100+F224)</f>
        <v>1.7607093596059116</v>
      </c>
      <c r="G225" s="409">
        <f>(100*G217)/(100+G224)</f>
        <v>1.701098039215686</v>
      </c>
      <c r="H225" s="95"/>
      <c r="I225" s="95"/>
    </row>
    <row r="226" spans="1:9" ht="12.75" thickTop="1">
      <c r="A226" s="102"/>
      <c r="B226" s="93"/>
      <c r="C226" s="93"/>
      <c r="D226" s="93"/>
      <c r="E226" s="93"/>
      <c r="F226" s="93"/>
      <c r="G226" s="103"/>
      <c r="H226" s="95"/>
      <c r="I226" s="95"/>
    </row>
    <row r="227" spans="1:9" ht="12">
      <c r="A227" s="102"/>
      <c r="B227" s="93"/>
      <c r="C227" s="93"/>
      <c r="D227" s="107"/>
      <c r="E227" s="93"/>
      <c r="F227" s="93"/>
      <c r="G227" s="103"/>
      <c r="H227" s="95"/>
      <c r="I227" s="95"/>
    </row>
    <row r="228" spans="1:9" ht="12">
      <c r="A228" s="102"/>
      <c r="B228" s="93"/>
      <c r="C228" s="93"/>
      <c r="D228" s="93"/>
      <c r="E228" s="93"/>
      <c r="F228" s="93"/>
      <c r="G228" s="103"/>
      <c r="H228" s="95"/>
      <c r="I228" s="95"/>
    </row>
    <row r="229" spans="1:9" ht="12">
      <c r="A229" s="102"/>
      <c r="B229" s="93"/>
      <c r="C229" s="93"/>
      <c r="D229" s="93"/>
      <c r="E229" s="93"/>
      <c r="F229" s="93"/>
      <c r="G229" s="103"/>
      <c r="H229" s="95"/>
      <c r="I229" s="95"/>
    </row>
    <row r="230" spans="1:9" ht="12">
      <c r="A230" s="102"/>
      <c r="B230" s="93"/>
      <c r="C230" s="93"/>
      <c r="D230" s="93"/>
      <c r="E230" s="93"/>
      <c r="F230" s="93"/>
      <c r="G230" s="103"/>
      <c r="H230" s="95"/>
      <c r="I230" s="95"/>
    </row>
    <row r="231" spans="1:9" ht="12">
      <c r="A231" s="102"/>
      <c r="B231" s="93"/>
      <c r="C231" s="93"/>
      <c r="D231" s="93"/>
      <c r="E231" s="93"/>
      <c r="F231" s="93"/>
      <c r="G231" s="103"/>
      <c r="H231" s="95"/>
      <c r="I231" s="95"/>
    </row>
    <row r="232" spans="1:9" ht="12">
      <c r="A232" s="102"/>
      <c r="B232" s="93"/>
      <c r="C232" s="93"/>
      <c r="D232" s="93"/>
      <c r="E232" s="93"/>
      <c r="F232" s="93"/>
      <c r="G232" s="103"/>
      <c r="H232" s="95"/>
      <c r="I232" s="95"/>
    </row>
    <row r="233" spans="1:9" ht="12">
      <c r="A233" s="102"/>
      <c r="B233" s="93"/>
      <c r="C233" s="93"/>
      <c r="D233" s="93"/>
      <c r="E233" s="93"/>
      <c r="F233" s="93"/>
      <c r="G233" s="103"/>
      <c r="H233" s="95"/>
      <c r="I233" s="95"/>
    </row>
    <row r="234" spans="1:9" ht="12">
      <c r="A234" s="102"/>
      <c r="B234" s="93"/>
      <c r="C234" s="93"/>
      <c r="D234" s="93"/>
      <c r="E234" s="93"/>
      <c r="F234" s="93"/>
      <c r="G234" s="103"/>
      <c r="H234" s="95"/>
      <c r="I234" s="95"/>
    </row>
    <row r="235" spans="1:9" ht="12">
      <c r="A235" s="102"/>
      <c r="B235" s="93"/>
      <c r="C235" s="93"/>
      <c r="D235" s="93"/>
      <c r="E235" s="93"/>
      <c r="F235" s="93"/>
      <c r="G235" s="103"/>
      <c r="H235" s="95"/>
      <c r="I235" s="95"/>
    </row>
    <row r="236" spans="1:9" ht="12">
      <c r="A236" s="102"/>
      <c r="B236" s="93"/>
      <c r="C236" s="93"/>
      <c r="D236" s="93"/>
      <c r="E236" s="93"/>
      <c r="F236" s="93"/>
      <c r="G236" s="103"/>
      <c r="H236" s="95"/>
      <c r="I236" s="95"/>
    </row>
    <row r="237" spans="1:9" ht="12">
      <c r="A237" s="102"/>
      <c r="B237" s="93"/>
      <c r="C237" s="93"/>
      <c r="D237" s="93"/>
      <c r="E237" s="93"/>
      <c r="F237" s="93"/>
      <c r="G237" s="103"/>
      <c r="H237" s="95"/>
      <c r="I237" s="95"/>
    </row>
    <row r="238" spans="1:9" ht="12">
      <c r="A238" s="102"/>
      <c r="B238" s="93"/>
      <c r="C238" s="93"/>
      <c r="D238" s="93"/>
      <c r="E238" s="93"/>
      <c r="F238" s="93"/>
      <c r="G238" s="103"/>
      <c r="H238" s="95"/>
      <c r="I238" s="95"/>
    </row>
    <row r="239" spans="1:9" ht="12">
      <c r="A239" s="102"/>
      <c r="B239" s="93"/>
      <c r="C239" s="93"/>
      <c r="D239" s="93"/>
      <c r="E239" s="93"/>
      <c r="F239" s="93"/>
      <c r="G239" s="103"/>
      <c r="H239" s="95"/>
      <c r="I239" s="95"/>
    </row>
    <row r="240" spans="1:9" ht="12">
      <c r="A240" s="102"/>
      <c r="B240" s="93"/>
      <c r="C240" s="93"/>
      <c r="D240" s="93"/>
      <c r="E240" s="93"/>
      <c r="F240" s="93"/>
      <c r="G240" s="103"/>
      <c r="H240" s="95"/>
      <c r="I240" s="95"/>
    </row>
    <row r="241" spans="1:9" ht="12">
      <c r="A241" s="102"/>
      <c r="B241" s="93"/>
      <c r="C241" s="93"/>
      <c r="D241" s="93"/>
      <c r="E241" s="93"/>
      <c r="F241" s="93"/>
      <c r="G241" s="103"/>
      <c r="H241" s="95"/>
      <c r="I241" s="95"/>
    </row>
    <row r="242" spans="1:9" ht="12">
      <c r="A242" s="102"/>
      <c r="B242" s="93"/>
      <c r="C242" s="93"/>
      <c r="D242" s="93"/>
      <c r="E242" s="93"/>
      <c r="F242" s="93"/>
      <c r="G242" s="103"/>
      <c r="H242" s="95"/>
      <c r="I242" s="95"/>
    </row>
    <row r="243" spans="1:9" ht="12">
      <c r="A243" s="102"/>
      <c r="B243" s="93"/>
      <c r="C243" s="93"/>
      <c r="D243" s="93"/>
      <c r="E243" s="93"/>
      <c r="F243" s="93"/>
      <c r="G243" s="103"/>
      <c r="H243" s="95"/>
      <c r="I243" s="95"/>
    </row>
    <row r="244" spans="1:9" ht="12">
      <c r="A244" s="102"/>
      <c r="B244" s="93"/>
      <c r="C244" s="93"/>
      <c r="D244" s="93"/>
      <c r="E244" s="93"/>
      <c r="F244" s="93"/>
      <c r="G244" s="103"/>
      <c r="H244" s="95"/>
      <c r="I244" s="95"/>
    </row>
    <row r="245" spans="1:9" ht="12">
      <c r="A245" s="102"/>
      <c r="B245" s="93"/>
      <c r="C245" s="93"/>
      <c r="D245" s="93"/>
      <c r="E245" s="93"/>
      <c r="F245" s="93"/>
      <c r="G245" s="103"/>
      <c r="H245" s="95"/>
      <c r="I245" s="95"/>
    </row>
    <row r="246" spans="1:9" ht="12">
      <c r="A246" s="102"/>
      <c r="B246" s="93"/>
      <c r="C246" s="93"/>
      <c r="D246" s="93"/>
      <c r="E246" s="93"/>
      <c r="F246" s="93"/>
      <c r="G246" s="103"/>
      <c r="H246" s="95"/>
      <c r="I246" s="95"/>
    </row>
    <row r="247" spans="1:9" ht="12">
      <c r="A247" s="102"/>
      <c r="B247" s="93"/>
      <c r="C247" s="93"/>
      <c r="D247" s="93"/>
      <c r="E247" s="93"/>
      <c r="F247" s="93"/>
      <c r="G247" s="103"/>
      <c r="H247" s="95"/>
      <c r="I247" s="95"/>
    </row>
    <row r="248" spans="1:9" ht="16.5">
      <c r="A248" s="658" t="s">
        <v>74</v>
      </c>
      <c r="B248" s="659"/>
      <c r="C248" s="441"/>
      <c r="D248" s="441" t="s">
        <v>75</v>
      </c>
      <c r="E248" s="441"/>
      <c r="F248" s="443">
        <v>1.762</v>
      </c>
      <c r="G248" s="439" t="s">
        <v>227</v>
      </c>
      <c r="H248" s="95"/>
      <c r="I248" s="95"/>
    </row>
    <row r="249" spans="1:7" ht="14.25">
      <c r="A249" s="396"/>
      <c r="B249" s="397"/>
      <c r="C249" s="442"/>
      <c r="D249" s="442" t="s">
        <v>76</v>
      </c>
      <c r="E249" s="442"/>
      <c r="F249" s="444">
        <v>13.6</v>
      </c>
      <c r="G249" s="440" t="s">
        <v>77</v>
      </c>
    </row>
    <row r="250" spans="1:7" ht="12">
      <c r="A250" s="99"/>
      <c r="B250" s="100"/>
      <c r="C250" s="100"/>
      <c r="D250" s="100"/>
      <c r="E250" s="100"/>
      <c r="F250" s="100"/>
      <c r="G250" s="101"/>
    </row>
    <row r="251" spans="1:7" ht="12.75" thickBot="1">
      <c r="A251" s="104"/>
      <c r="B251" s="105"/>
      <c r="C251" s="105"/>
      <c r="D251" s="105"/>
      <c r="E251" s="105"/>
      <c r="F251" s="105"/>
      <c r="G251" s="106"/>
    </row>
    <row r="252" spans="1:7" ht="13.5" customHeight="1" thickBot="1">
      <c r="A252" s="649" t="s">
        <v>223</v>
      </c>
      <c r="B252" s="650"/>
      <c r="C252" s="650"/>
      <c r="D252" s="650"/>
      <c r="E252" s="650"/>
      <c r="F252" s="650"/>
      <c r="G252" s="651"/>
    </row>
    <row r="253" spans="1:7" ht="12.75" thickBot="1">
      <c r="A253" s="99"/>
      <c r="B253" s="100"/>
      <c r="C253" s="100"/>
      <c r="D253" s="100"/>
      <c r="E253" s="100"/>
      <c r="F253" s="100"/>
      <c r="G253" s="101"/>
    </row>
    <row r="254" spans="1:7" ht="13.5" thickTop="1">
      <c r="A254" s="640" t="s">
        <v>2</v>
      </c>
      <c r="B254" s="623"/>
      <c r="C254" s="652" t="s">
        <v>3</v>
      </c>
      <c r="D254" s="653"/>
      <c r="E254" s="100"/>
      <c r="F254" s="100"/>
      <c r="G254" s="101"/>
    </row>
    <row r="255" spans="1:7" ht="12.75">
      <c r="A255" s="641" t="s">
        <v>1</v>
      </c>
      <c r="B255" s="625"/>
      <c r="C255" s="654" t="s">
        <v>206</v>
      </c>
      <c r="D255" s="655"/>
      <c r="E255" s="100"/>
      <c r="F255" s="100"/>
      <c r="G255" s="101"/>
    </row>
    <row r="256" spans="1:7" ht="13.5" thickBot="1">
      <c r="A256" s="642" t="s">
        <v>4</v>
      </c>
      <c r="B256" s="627"/>
      <c r="C256" s="656" t="s">
        <v>70</v>
      </c>
      <c r="D256" s="657"/>
      <c r="E256" s="100"/>
      <c r="F256" s="100"/>
      <c r="G256" s="101"/>
    </row>
    <row r="257" spans="1:7" ht="12.75" thickTop="1">
      <c r="A257" s="99"/>
      <c r="B257" s="100"/>
      <c r="C257" s="100"/>
      <c r="D257" s="100"/>
      <c r="E257" s="100"/>
      <c r="F257" s="100"/>
      <c r="G257" s="101"/>
    </row>
    <row r="258" spans="1:9" ht="12.75" thickBot="1">
      <c r="A258" s="99"/>
      <c r="B258" s="100"/>
      <c r="C258" s="100"/>
      <c r="D258" s="100"/>
      <c r="E258" s="100"/>
      <c r="F258" s="100"/>
      <c r="G258" s="101"/>
      <c r="I258" s="95"/>
    </row>
    <row r="259" spans="1:9" ht="15" thickBot="1">
      <c r="A259" s="399" t="s">
        <v>71</v>
      </c>
      <c r="B259" s="395">
        <v>1</v>
      </c>
      <c r="C259" s="399" t="s">
        <v>224</v>
      </c>
      <c r="D259" s="395">
        <v>2122</v>
      </c>
      <c r="E259" s="394" t="s">
        <v>72</v>
      </c>
      <c r="F259" s="399" t="s">
        <v>73</v>
      </c>
      <c r="G259" s="395">
        <v>2527</v>
      </c>
      <c r="H259" s="95"/>
      <c r="I259" s="95"/>
    </row>
    <row r="260" spans="1:9" ht="12.75" thickBot="1">
      <c r="A260" s="102"/>
      <c r="B260" s="93"/>
      <c r="C260" s="93"/>
      <c r="D260" s="93"/>
      <c r="E260" s="93"/>
      <c r="F260" s="93"/>
      <c r="G260" s="103"/>
      <c r="H260" s="94"/>
      <c r="I260" s="30"/>
    </row>
    <row r="261" spans="1:9" ht="15" thickTop="1">
      <c r="A261" s="410" t="s">
        <v>102</v>
      </c>
      <c r="B261" s="411"/>
      <c r="C261" s="411"/>
      <c r="D261" s="419">
        <v>5</v>
      </c>
      <c r="E261" s="420">
        <v>5</v>
      </c>
      <c r="F261" s="420">
        <v>5</v>
      </c>
      <c r="G261" s="421">
        <v>5</v>
      </c>
      <c r="H261" s="67"/>
      <c r="I261" s="30"/>
    </row>
    <row r="262" spans="1:9" ht="14.25">
      <c r="A262" s="412" t="s">
        <v>103</v>
      </c>
      <c r="B262" s="413"/>
      <c r="C262" s="413"/>
      <c r="D262" s="414">
        <v>56</v>
      </c>
      <c r="E262" s="415">
        <v>56</v>
      </c>
      <c r="F262" s="415">
        <v>56</v>
      </c>
      <c r="G262" s="416">
        <v>56</v>
      </c>
      <c r="H262" s="67"/>
      <c r="I262" s="30"/>
    </row>
    <row r="263" spans="1:9" ht="14.25">
      <c r="A263" s="412" t="s">
        <v>104</v>
      </c>
      <c r="B263" s="413"/>
      <c r="C263" s="413"/>
      <c r="D263" s="414">
        <v>7020</v>
      </c>
      <c r="E263" s="415">
        <v>7201</v>
      </c>
      <c r="F263" s="415">
        <v>7461</v>
      </c>
      <c r="G263" s="416">
        <v>7418</v>
      </c>
      <c r="H263" s="67"/>
      <c r="I263" s="30"/>
    </row>
    <row r="264" spans="1:9" ht="14.25">
      <c r="A264" s="412" t="s">
        <v>105</v>
      </c>
      <c r="B264" s="413"/>
      <c r="C264" s="413"/>
      <c r="D264" s="414">
        <v>2527</v>
      </c>
      <c r="E264" s="415">
        <v>2527</v>
      </c>
      <c r="F264" s="415">
        <f aca="true" t="shared" si="4" ref="E264:G265">E264</f>
        <v>2527</v>
      </c>
      <c r="G264" s="416">
        <f t="shared" si="4"/>
        <v>2527</v>
      </c>
      <c r="H264" s="108"/>
      <c r="I264" s="30"/>
    </row>
    <row r="265" spans="1:9" ht="14.25">
      <c r="A265" s="412" t="s">
        <v>106</v>
      </c>
      <c r="B265" s="413"/>
      <c r="C265" s="452"/>
      <c r="D265" s="414">
        <f>D259</f>
        <v>2122</v>
      </c>
      <c r="E265" s="415">
        <f t="shared" si="4"/>
        <v>2122</v>
      </c>
      <c r="F265" s="415">
        <f t="shared" si="4"/>
        <v>2122</v>
      </c>
      <c r="G265" s="416">
        <f t="shared" si="4"/>
        <v>2122</v>
      </c>
      <c r="H265" s="30"/>
      <c r="I265" s="30"/>
    </row>
    <row r="266" spans="1:9" ht="14.25">
      <c r="A266" s="422" t="s">
        <v>107</v>
      </c>
      <c r="B266" s="423"/>
      <c r="C266" s="452"/>
      <c r="D266" s="424">
        <f>D263-D264</f>
        <v>4493</v>
      </c>
      <c r="E266" s="415">
        <f>E263-E264</f>
        <v>4674</v>
      </c>
      <c r="F266" s="415">
        <f>F263-F264</f>
        <v>4934</v>
      </c>
      <c r="G266" s="416">
        <f>G263-G264</f>
        <v>4891</v>
      </c>
      <c r="H266" s="28"/>
      <c r="I266" s="28"/>
    </row>
    <row r="267" spans="1:9" ht="17.25" thickBot="1">
      <c r="A267" s="417" t="s">
        <v>225</v>
      </c>
      <c r="B267" s="418"/>
      <c r="C267" s="453"/>
      <c r="D267" s="425">
        <f>D266/D265</f>
        <v>2.1173421300659756</v>
      </c>
      <c r="E267" s="426">
        <f>E266/E265</f>
        <v>2.2026390197926484</v>
      </c>
      <c r="F267" s="426">
        <f>F266/F265</f>
        <v>2.3251649387370406</v>
      </c>
      <c r="G267" s="427">
        <f>G266/G265</f>
        <v>2.3049010367577756</v>
      </c>
      <c r="H267" s="30"/>
      <c r="I267" s="30"/>
    </row>
    <row r="268" spans="1:9" ht="15" thickTop="1">
      <c r="A268" s="400" t="s">
        <v>108</v>
      </c>
      <c r="B268" s="401"/>
      <c r="C268" s="401"/>
      <c r="D268" s="428">
        <v>2</v>
      </c>
      <c r="E268" s="429">
        <v>3</v>
      </c>
      <c r="F268" s="429">
        <v>4</v>
      </c>
      <c r="G268" s="430">
        <v>5</v>
      </c>
      <c r="H268" s="94"/>
      <c r="I268" s="30"/>
    </row>
    <row r="269" spans="1:9" ht="14.25">
      <c r="A269" s="402" t="s">
        <v>109</v>
      </c>
      <c r="B269" s="403"/>
      <c r="C269" s="403"/>
      <c r="D269" s="404">
        <v>217.6</v>
      </c>
      <c r="E269" s="405">
        <v>226.3</v>
      </c>
      <c r="F269" s="405">
        <v>216.3</v>
      </c>
      <c r="G269" s="406">
        <v>223.5</v>
      </c>
      <c r="H269" s="66"/>
      <c r="I269" s="29"/>
    </row>
    <row r="270" spans="1:9" ht="14.25">
      <c r="A270" s="402" t="s">
        <v>110</v>
      </c>
      <c r="B270" s="403"/>
      <c r="C270" s="403"/>
      <c r="D270" s="404">
        <v>212.6</v>
      </c>
      <c r="E270" s="431">
        <v>218.7</v>
      </c>
      <c r="F270" s="405">
        <v>207.1</v>
      </c>
      <c r="G270" s="406">
        <v>210.7</v>
      </c>
      <c r="H270" s="67"/>
      <c r="I270" s="30"/>
    </row>
    <row r="271" spans="1:9" ht="14.25">
      <c r="A271" s="402" t="s">
        <v>111</v>
      </c>
      <c r="B271" s="403"/>
      <c r="C271" s="403"/>
      <c r="D271" s="404">
        <f>D269-D270</f>
        <v>5</v>
      </c>
      <c r="E271" s="432">
        <f>E269-E270</f>
        <v>7.600000000000023</v>
      </c>
      <c r="F271" s="432">
        <f>F269-F270</f>
        <v>9.200000000000017</v>
      </c>
      <c r="G271" s="447">
        <f>G269-G270</f>
        <v>12.800000000000011</v>
      </c>
      <c r="H271" s="67"/>
      <c r="I271" s="30"/>
    </row>
    <row r="272" spans="1:9" ht="14.25">
      <c r="A272" s="402" t="s">
        <v>112</v>
      </c>
      <c r="B272" s="403"/>
      <c r="C272" s="403"/>
      <c r="D272" s="404">
        <v>72.8</v>
      </c>
      <c r="E272" s="405">
        <v>73.4</v>
      </c>
      <c r="F272" s="405">
        <v>86.8</v>
      </c>
      <c r="G272" s="406">
        <v>79.4</v>
      </c>
      <c r="H272" s="67"/>
      <c r="I272" s="30"/>
    </row>
    <row r="273" spans="1:9" ht="14.25">
      <c r="A273" s="402" t="s">
        <v>113</v>
      </c>
      <c r="B273" s="403"/>
      <c r="C273" s="403"/>
      <c r="D273" s="404">
        <f>D270-D272</f>
        <v>139.8</v>
      </c>
      <c r="E273" s="432">
        <f>E270-E272</f>
        <v>145.29999999999998</v>
      </c>
      <c r="F273" s="432">
        <f>F270-F272</f>
        <v>120.3</v>
      </c>
      <c r="G273" s="447">
        <f>G270-G272</f>
        <v>131.29999999999998</v>
      </c>
      <c r="H273" s="66"/>
      <c r="I273" s="29"/>
    </row>
    <row r="274" spans="1:9" ht="14.25">
      <c r="A274" s="402" t="s">
        <v>114</v>
      </c>
      <c r="B274" s="403"/>
      <c r="C274" s="403"/>
      <c r="D274" s="433">
        <f>D271*100/D273</f>
        <v>3.5765379113018594</v>
      </c>
      <c r="E274" s="434">
        <f>E271*100/E273</f>
        <v>5.2305574673090325</v>
      </c>
      <c r="F274" s="434">
        <f>F271*100/F273</f>
        <v>7.647547797173747</v>
      </c>
      <c r="G274" s="448">
        <f>G271*100/G273</f>
        <v>9.748667174409759</v>
      </c>
      <c r="H274" s="109"/>
      <c r="I274" s="28"/>
    </row>
    <row r="275" spans="1:9" ht="17.25" thickBot="1">
      <c r="A275" s="407" t="s">
        <v>226</v>
      </c>
      <c r="B275" s="408"/>
      <c r="C275" s="408"/>
      <c r="D275" s="436">
        <f>(100*D267)/(100+D274)</f>
        <v>2.0442294874532005</v>
      </c>
      <c r="E275" s="437">
        <f>(100*E267)/(100+E274)</f>
        <v>2.0931553275073367</v>
      </c>
      <c r="F275" s="437">
        <f>(100*F267)/(100+F274)</f>
        <v>2.1599794759078454</v>
      </c>
      <c r="G275" s="438">
        <f>(100*G267)/(100+G274)</f>
        <v>2.1001631237078136</v>
      </c>
      <c r="H275" s="95"/>
      <c r="I275" s="95"/>
    </row>
    <row r="276" spans="1:9" ht="12.75" thickTop="1">
      <c r="A276" s="102"/>
      <c r="B276" s="93"/>
      <c r="C276" s="93"/>
      <c r="D276" s="93"/>
      <c r="E276" s="93"/>
      <c r="F276" s="93"/>
      <c r="G276" s="103"/>
      <c r="H276" s="95"/>
      <c r="I276" s="95"/>
    </row>
    <row r="277" spans="1:9" ht="12">
      <c r="A277" s="102"/>
      <c r="B277" s="93"/>
      <c r="C277" s="93"/>
      <c r="D277" s="93"/>
      <c r="E277" s="93"/>
      <c r="F277" s="93"/>
      <c r="G277" s="103"/>
      <c r="H277" s="95"/>
      <c r="I277" s="95"/>
    </row>
    <row r="278" spans="1:9" ht="12">
      <c r="A278" s="102"/>
      <c r="B278" s="93"/>
      <c r="C278" s="93"/>
      <c r="D278" s="93"/>
      <c r="E278" s="93"/>
      <c r="F278" s="93"/>
      <c r="G278" s="103"/>
      <c r="H278" s="95"/>
      <c r="I278" s="95"/>
    </row>
    <row r="279" spans="1:9" ht="12">
      <c r="A279" s="102"/>
      <c r="B279" s="93"/>
      <c r="C279" s="93"/>
      <c r="D279" s="93"/>
      <c r="E279" s="93"/>
      <c r="F279" s="93"/>
      <c r="G279" s="103"/>
      <c r="H279" s="95"/>
      <c r="I279" s="95"/>
    </row>
    <row r="280" spans="1:9" ht="12">
      <c r="A280" s="102"/>
      <c r="B280" s="93"/>
      <c r="C280" s="93"/>
      <c r="D280" s="93"/>
      <c r="E280" s="93"/>
      <c r="F280" s="93"/>
      <c r="G280" s="103"/>
      <c r="H280" s="95"/>
      <c r="I280" s="95"/>
    </row>
    <row r="281" spans="1:9" ht="12">
      <c r="A281" s="102"/>
      <c r="B281" s="93"/>
      <c r="C281" s="93"/>
      <c r="D281" s="93"/>
      <c r="E281" s="93"/>
      <c r="F281" s="93"/>
      <c r="G281" s="103"/>
      <c r="H281" s="95"/>
      <c r="I281" s="95"/>
    </row>
    <row r="282" spans="1:9" ht="12">
      <c r="A282" s="102"/>
      <c r="B282" s="93"/>
      <c r="C282" s="93"/>
      <c r="D282" s="93"/>
      <c r="E282" s="93"/>
      <c r="F282" s="93"/>
      <c r="G282" s="103"/>
      <c r="H282" s="95"/>
      <c r="I282" s="95"/>
    </row>
    <row r="283" spans="1:9" ht="12">
      <c r="A283" s="102"/>
      <c r="B283" s="93"/>
      <c r="C283" s="93"/>
      <c r="D283" s="93"/>
      <c r="E283" s="93"/>
      <c r="F283" s="93"/>
      <c r="G283" s="103"/>
      <c r="H283" s="95"/>
      <c r="I283" s="95"/>
    </row>
    <row r="284" spans="1:9" ht="12">
      <c r="A284" s="102"/>
      <c r="B284" s="93"/>
      <c r="C284" s="93"/>
      <c r="D284" s="93"/>
      <c r="E284" s="93"/>
      <c r="F284" s="93"/>
      <c r="G284" s="103"/>
      <c r="H284" s="95"/>
      <c r="I284" s="95"/>
    </row>
    <row r="285" spans="1:9" ht="12">
      <c r="A285" s="102"/>
      <c r="B285" s="93"/>
      <c r="C285" s="93"/>
      <c r="D285" s="93"/>
      <c r="E285" s="93"/>
      <c r="F285" s="93"/>
      <c r="G285" s="103"/>
      <c r="H285" s="95"/>
      <c r="I285" s="95"/>
    </row>
    <row r="286" spans="1:9" ht="12">
      <c r="A286" s="102"/>
      <c r="B286" s="93"/>
      <c r="C286" s="93"/>
      <c r="D286" s="93"/>
      <c r="E286" s="93"/>
      <c r="F286" s="93"/>
      <c r="G286" s="103"/>
      <c r="H286" s="95"/>
      <c r="I286" s="95"/>
    </row>
    <row r="287" spans="1:9" ht="12">
      <c r="A287" s="102"/>
      <c r="B287" s="93"/>
      <c r="C287" s="93"/>
      <c r="D287" s="93"/>
      <c r="E287" s="93"/>
      <c r="F287" s="93"/>
      <c r="G287" s="103"/>
      <c r="H287" s="95"/>
      <c r="I287" s="95"/>
    </row>
    <row r="288" spans="1:9" ht="12">
      <c r="A288" s="102"/>
      <c r="B288" s="93"/>
      <c r="C288" s="93"/>
      <c r="D288" s="93"/>
      <c r="E288" s="93"/>
      <c r="F288" s="93"/>
      <c r="G288" s="103"/>
      <c r="H288" s="95"/>
      <c r="I288" s="95"/>
    </row>
    <row r="289" spans="1:9" ht="12">
      <c r="A289" s="102"/>
      <c r="B289" s="93"/>
      <c r="C289" s="93"/>
      <c r="D289" s="93"/>
      <c r="E289" s="93"/>
      <c r="F289" s="93"/>
      <c r="G289" s="103"/>
      <c r="H289" s="95"/>
      <c r="I289" s="95"/>
    </row>
    <row r="290" spans="1:9" ht="12">
      <c r="A290" s="102"/>
      <c r="B290" s="93"/>
      <c r="C290" s="93"/>
      <c r="D290" s="93"/>
      <c r="E290" s="93"/>
      <c r="F290" s="93"/>
      <c r="G290" s="103"/>
      <c r="H290" s="95"/>
      <c r="I290" s="95"/>
    </row>
    <row r="291" spans="1:9" ht="12">
      <c r="A291" s="102"/>
      <c r="B291" s="93"/>
      <c r="C291" s="93"/>
      <c r="D291" s="93"/>
      <c r="E291" s="93"/>
      <c r="F291" s="93"/>
      <c r="G291" s="103"/>
      <c r="H291" s="95"/>
      <c r="I291" s="95"/>
    </row>
    <row r="292" spans="1:9" ht="12">
      <c r="A292" s="102"/>
      <c r="B292" s="93"/>
      <c r="C292" s="93"/>
      <c r="D292" s="93"/>
      <c r="E292" s="93"/>
      <c r="F292" s="93"/>
      <c r="G292" s="103"/>
      <c r="H292" s="95"/>
      <c r="I292" s="95"/>
    </row>
    <row r="293" spans="1:9" ht="12">
      <c r="A293" s="102"/>
      <c r="B293" s="93"/>
      <c r="C293" s="93"/>
      <c r="D293" s="93"/>
      <c r="E293" s="93"/>
      <c r="F293" s="93"/>
      <c r="G293" s="103"/>
      <c r="H293" s="95"/>
      <c r="I293" s="95"/>
    </row>
    <row r="294" spans="1:9" ht="12">
      <c r="A294" s="102"/>
      <c r="B294" s="93"/>
      <c r="C294" s="93"/>
      <c r="D294" s="93"/>
      <c r="E294" s="93"/>
      <c r="F294" s="93"/>
      <c r="G294" s="103"/>
      <c r="H294" s="95"/>
      <c r="I294" s="95"/>
    </row>
    <row r="295" spans="1:9" ht="12">
      <c r="A295" s="102"/>
      <c r="B295" s="93"/>
      <c r="C295" s="93"/>
      <c r="D295" s="93"/>
      <c r="E295" s="93"/>
      <c r="F295" s="93"/>
      <c r="G295" s="103"/>
      <c r="H295" s="95"/>
      <c r="I295" s="95"/>
    </row>
    <row r="296" spans="1:9" ht="12">
      <c r="A296" s="102"/>
      <c r="B296" s="93"/>
      <c r="C296" s="93"/>
      <c r="D296" s="93"/>
      <c r="E296" s="93"/>
      <c r="F296" s="93"/>
      <c r="G296" s="103"/>
      <c r="H296" s="95"/>
      <c r="I296" s="95"/>
    </row>
    <row r="297" spans="1:9" ht="12">
      <c r="A297" s="102"/>
      <c r="B297" s="93"/>
      <c r="C297" s="93"/>
      <c r="D297" s="93"/>
      <c r="E297" s="93"/>
      <c r="F297" s="93"/>
      <c r="G297" s="103"/>
      <c r="H297" s="95"/>
      <c r="I297" s="95"/>
    </row>
    <row r="298" spans="1:9" ht="16.5">
      <c r="A298" s="658" t="s">
        <v>74</v>
      </c>
      <c r="B298" s="659"/>
      <c r="C298" s="454"/>
      <c r="D298" s="454" t="s">
        <v>75</v>
      </c>
      <c r="E298" s="454"/>
      <c r="F298" s="443">
        <v>2.16</v>
      </c>
      <c r="G298" s="439" t="s">
        <v>227</v>
      </c>
      <c r="H298" s="95"/>
      <c r="I298" s="95"/>
    </row>
    <row r="299" spans="1:7" ht="14.25">
      <c r="A299" s="396"/>
      <c r="B299" s="397"/>
      <c r="C299" s="455"/>
      <c r="D299" s="455" t="s">
        <v>76</v>
      </c>
      <c r="E299" s="455"/>
      <c r="F299" s="444">
        <v>8.6</v>
      </c>
      <c r="G299" s="440" t="s">
        <v>77</v>
      </c>
    </row>
    <row r="300" spans="1:7" ht="12">
      <c r="A300" s="102"/>
      <c r="B300" s="93"/>
      <c r="C300" s="93"/>
      <c r="D300" s="93"/>
      <c r="E300" s="93"/>
      <c r="F300" s="29"/>
      <c r="G300" s="103"/>
    </row>
    <row r="301" spans="1:7" ht="12.75" thickBot="1">
      <c r="A301" s="104"/>
      <c r="B301" s="105"/>
      <c r="C301" s="105"/>
      <c r="D301" s="105"/>
      <c r="E301" s="105"/>
      <c r="F301" s="105"/>
      <c r="G301" s="106"/>
    </row>
    <row r="302" spans="2:6" ht="12">
      <c r="B302" s="92"/>
      <c r="C302" s="93"/>
      <c r="D302" s="93"/>
      <c r="E302" s="93"/>
      <c r="F302" s="93"/>
    </row>
    <row r="305" spans="1:9" ht="12">
      <c r="A305" s="151"/>
      <c r="B305" s="151"/>
      <c r="C305" s="151"/>
      <c r="D305" s="151"/>
      <c r="E305" s="151"/>
      <c r="F305" s="151"/>
      <c r="G305" s="151"/>
      <c r="H305" s="151"/>
      <c r="I305" s="151"/>
    </row>
    <row r="306" spans="1:9" ht="12">
      <c r="A306" s="151"/>
      <c r="B306" s="151"/>
      <c r="C306" s="151"/>
      <c r="D306" s="151"/>
      <c r="E306" s="151"/>
      <c r="F306" s="151"/>
      <c r="G306" s="151"/>
      <c r="H306" s="152"/>
      <c r="I306" s="152"/>
    </row>
    <row r="307" spans="1:9" ht="12">
      <c r="A307" s="151"/>
      <c r="B307" s="151"/>
      <c r="C307" s="151"/>
      <c r="D307" s="151"/>
      <c r="E307" s="151"/>
      <c r="F307" s="151"/>
      <c r="G307" s="151"/>
      <c r="H307" s="152"/>
      <c r="I307" s="152"/>
    </row>
    <row r="308" spans="1:11" ht="12">
      <c r="A308" s="151"/>
      <c r="B308" s="151"/>
      <c r="C308" s="151"/>
      <c r="D308" s="151"/>
      <c r="E308" s="151"/>
      <c r="F308" s="151"/>
      <c r="G308" s="151"/>
      <c r="H308" s="153"/>
      <c r="I308" s="153"/>
      <c r="J308" s="95"/>
      <c r="K308" s="95"/>
    </row>
    <row r="309" spans="1:11" ht="12">
      <c r="A309" s="154"/>
      <c r="B309" s="153"/>
      <c r="C309" s="152"/>
      <c r="D309" s="155"/>
      <c r="E309" s="152"/>
      <c r="F309" s="154"/>
      <c r="G309" s="153"/>
      <c r="H309" s="153"/>
      <c r="I309" s="153"/>
      <c r="J309" s="95"/>
      <c r="K309" s="97"/>
    </row>
    <row r="310" spans="1:11" ht="12">
      <c r="A310" s="152"/>
      <c r="B310" s="152"/>
      <c r="C310" s="152"/>
      <c r="D310" s="152"/>
      <c r="E310" s="152"/>
      <c r="F310" s="152"/>
      <c r="G310" s="152"/>
      <c r="H310" s="153"/>
      <c r="I310" s="153"/>
      <c r="J310" s="95"/>
      <c r="K310" s="97"/>
    </row>
    <row r="311" spans="1:11" ht="12">
      <c r="A311" s="152"/>
      <c r="B311" s="152"/>
      <c r="C311" s="152"/>
      <c r="D311" s="153"/>
      <c r="E311" s="153"/>
      <c r="F311" s="153"/>
      <c r="G311" s="153"/>
      <c r="H311" s="153"/>
      <c r="I311" s="153"/>
      <c r="J311" s="95"/>
      <c r="K311" s="98"/>
    </row>
    <row r="312" spans="1:9" ht="12">
      <c r="A312" s="152"/>
      <c r="B312" s="152"/>
      <c r="C312" s="152"/>
      <c r="D312" s="153"/>
      <c r="E312" s="153"/>
      <c r="F312" s="153"/>
      <c r="G312" s="153"/>
      <c r="H312" s="155"/>
      <c r="I312" s="155"/>
    </row>
    <row r="313" spans="1:9" ht="12">
      <c r="A313" s="152"/>
      <c r="B313" s="152"/>
      <c r="C313" s="152"/>
      <c r="D313" s="153"/>
      <c r="E313" s="153"/>
      <c r="F313" s="153"/>
      <c r="G313" s="153"/>
      <c r="H313" s="153"/>
      <c r="I313" s="153"/>
    </row>
    <row r="314" spans="1:9" ht="12">
      <c r="A314" s="152"/>
      <c r="B314" s="152"/>
      <c r="C314" s="152"/>
      <c r="D314" s="153"/>
      <c r="E314" s="153"/>
      <c r="F314" s="153"/>
      <c r="G314" s="153"/>
      <c r="H314" s="156"/>
      <c r="I314" s="156"/>
    </row>
    <row r="315" spans="1:9" ht="12">
      <c r="A315" s="152"/>
      <c r="B315" s="152"/>
      <c r="C315" s="152"/>
      <c r="D315" s="155"/>
      <c r="E315" s="155"/>
      <c r="F315" s="155"/>
      <c r="G315" s="155"/>
      <c r="H315" s="153"/>
      <c r="I315" s="153"/>
    </row>
    <row r="316" spans="1:9" ht="12">
      <c r="A316" s="152"/>
      <c r="B316" s="152"/>
      <c r="C316" s="152"/>
      <c r="D316" s="153"/>
      <c r="E316" s="153"/>
      <c r="F316" s="153"/>
      <c r="G316" s="153"/>
      <c r="H316" s="153"/>
      <c r="I316" s="153"/>
    </row>
    <row r="317" spans="1:9" ht="12">
      <c r="A317" s="152"/>
      <c r="B317" s="152"/>
      <c r="C317" s="152"/>
      <c r="D317" s="156"/>
      <c r="E317" s="156"/>
      <c r="F317" s="156"/>
      <c r="G317" s="156"/>
      <c r="H317" s="153"/>
      <c r="I317" s="153"/>
    </row>
    <row r="318" spans="1:9" ht="12">
      <c r="A318" s="152"/>
      <c r="B318" s="152"/>
      <c r="C318" s="152"/>
      <c r="D318" s="153"/>
      <c r="E318" s="153"/>
      <c r="F318" s="153"/>
      <c r="G318" s="153"/>
      <c r="H318" s="153"/>
      <c r="I318" s="153"/>
    </row>
    <row r="319" spans="1:9" ht="12">
      <c r="A319" s="152"/>
      <c r="B319" s="152"/>
      <c r="C319" s="152"/>
      <c r="D319" s="153"/>
      <c r="E319" s="153"/>
      <c r="F319" s="153"/>
      <c r="G319" s="153"/>
      <c r="H319" s="153"/>
      <c r="I319" s="153"/>
    </row>
    <row r="320" spans="1:9" ht="12">
      <c r="A320" s="152"/>
      <c r="B320" s="152"/>
      <c r="C320" s="152"/>
      <c r="D320" s="153"/>
      <c r="E320" s="157"/>
      <c r="F320" s="153"/>
      <c r="G320" s="153"/>
      <c r="H320" s="153"/>
      <c r="I320" s="153"/>
    </row>
    <row r="321" spans="1:9" ht="12">
      <c r="A321" s="152"/>
      <c r="B321" s="152"/>
      <c r="C321" s="152"/>
      <c r="D321" s="153"/>
      <c r="E321" s="153"/>
      <c r="F321" s="153"/>
      <c r="G321" s="153"/>
      <c r="H321" s="157"/>
      <c r="I321" s="157"/>
    </row>
    <row r="322" spans="1:9" ht="12">
      <c r="A322" s="152"/>
      <c r="B322" s="152"/>
      <c r="C322" s="152"/>
      <c r="D322" s="153"/>
      <c r="E322" s="153"/>
      <c r="F322" s="153"/>
      <c r="G322" s="153"/>
      <c r="H322" s="156"/>
      <c r="I322" s="156"/>
    </row>
    <row r="323" spans="1:9" ht="12">
      <c r="A323" s="152"/>
      <c r="B323" s="152"/>
      <c r="C323" s="152"/>
      <c r="D323" s="153"/>
      <c r="E323" s="153"/>
      <c r="F323" s="153"/>
      <c r="G323" s="153"/>
      <c r="H323" s="152"/>
      <c r="I323" s="152"/>
    </row>
    <row r="324" spans="1:9" ht="12">
      <c r="A324" s="152"/>
      <c r="B324" s="152"/>
      <c r="C324" s="152"/>
      <c r="D324" s="157"/>
      <c r="E324" s="157"/>
      <c r="F324" s="157"/>
      <c r="G324" s="157"/>
      <c r="H324" s="152"/>
      <c r="I324" s="152"/>
    </row>
    <row r="325" spans="1:9" ht="12">
      <c r="A325" s="152"/>
      <c r="B325" s="152"/>
      <c r="C325" s="152"/>
      <c r="D325" s="156"/>
      <c r="E325" s="156"/>
      <c r="F325" s="156"/>
      <c r="G325" s="156"/>
      <c r="H325" s="152"/>
      <c r="I325" s="152"/>
    </row>
    <row r="326" spans="1:9" ht="12">
      <c r="A326" s="152"/>
      <c r="B326" s="152"/>
      <c r="C326" s="152"/>
      <c r="D326" s="152"/>
      <c r="E326" s="152"/>
      <c r="F326" s="152"/>
      <c r="G326" s="152"/>
      <c r="H326" s="152"/>
      <c r="I326" s="152"/>
    </row>
    <row r="327" spans="1:9" ht="12">
      <c r="A327" s="152"/>
      <c r="B327" s="152"/>
      <c r="C327" s="152"/>
      <c r="D327" s="158"/>
      <c r="E327" s="152"/>
      <c r="F327" s="152"/>
      <c r="G327" s="152"/>
      <c r="H327" s="152"/>
      <c r="I327" s="152"/>
    </row>
    <row r="328" spans="1:9" ht="12">
      <c r="A328" s="152"/>
      <c r="B328" s="152"/>
      <c r="C328" s="152"/>
      <c r="D328" s="152"/>
      <c r="E328" s="152"/>
      <c r="F328" s="152"/>
      <c r="G328" s="152"/>
      <c r="H328" s="152"/>
      <c r="I328" s="152"/>
    </row>
    <row r="329" spans="1:9" ht="12">
      <c r="A329" s="152"/>
      <c r="B329" s="152"/>
      <c r="C329" s="152"/>
      <c r="D329" s="152"/>
      <c r="E329" s="152"/>
      <c r="F329" s="152"/>
      <c r="G329" s="152"/>
      <c r="H329" s="152"/>
      <c r="I329" s="152"/>
    </row>
    <row r="330" spans="1:9" ht="12">
      <c r="A330" s="152"/>
      <c r="B330" s="152"/>
      <c r="C330" s="152"/>
      <c r="D330" s="152"/>
      <c r="E330" s="152"/>
      <c r="F330" s="152"/>
      <c r="G330" s="152"/>
      <c r="H330" s="152"/>
      <c r="I330" s="152"/>
    </row>
    <row r="331" spans="1:9" ht="12">
      <c r="A331" s="152"/>
      <c r="B331" s="152"/>
      <c r="C331" s="152"/>
      <c r="D331" s="152"/>
      <c r="E331" s="152"/>
      <c r="F331" s="152"/>
      <c r="G331" s="152"/>
      <c r="H331" s="152"/>
      <c r="I331" s="152"/>
    </row>
    <row r="332" spans="1:9" ht="12">
      <c r="A332" s="152"/>
      <c r="B332" s="152"/>
      <c r="C332" s="152"/>
      <c r="D332" s="152"/>
      <c r="E332" s="152"/>
      <c r="F332" s="152"/>
      <c r="G332" s="152"/>
      <c r="H332" s="152"/>
      <c r="I332" s="152"/>
    </row>
    <row r="333" spans="1:9" ht="12">
      <c r="A333" s="152"/>
      <c r="B333" s="152"/>
      <c r="C333" s="152"/>
      <c r="D333" s="152"/>
      <c r="E333" s="152"/>
      <c r="F333" s="152"/>
      <c r="G333" s="152"/>
      <c r="H333" s="152"/>
      <c r="I333" s="152"/>
    </row>
    <row r="334" spans="1:9" ht="12">
      <c r="A334" s="95"/>
      <c r="B334" s="95"/>
      <c r="C334" s="95"/>
      <c r="D334" s="95"/>
      <c r="E334" s="95"/>
      <c r="F334" s="95"/>
      <c r="G334" s="95"/>
      <c r="H334" s="95"/>
      <c r="I334" s="95"/>
    </row>
    <row r="335" spans="1:9" ht="12">
      <c r="A335" s="95"/>
      <c r="B335" s="95"/>
      <c r="C335" s="95"/>
      <c r="D335" s="95"/>
      <c r="E335" s="95"/>
      <c r="F335" s="95"/>
      <c r="G335" s="95"/>
      <c r="H335" s="95"/>
      <c r="I335" s="95"/>
    </row>
    <row r="336" spans="1:9" ht="12">
      <c r="A336" s="95"/>
      <c r="B336" s="95"/>
      <c r="C336" s="95"/>
      <c r="D336" s="95"/>
      <c r="E336" s="95"/>
      <c r="F336" s="95"/>
      <c r="G336" s="95"/>
      <c r="H336" s="95"/>
      <c r="I336" s="95"/>
    </row>
    <row r="337" spans="1:9" ht="12">
      <c r="A337" s="95"/>
      <c r="B337" s="95"/>
      <c r="C337" s="95"/>
      <c r="D337" s="95"/>
      <c r="E337" s="95"/>
      <c r="F337" s="95"/>
      <c r="G337" s="95"/>
      <c r="H337" s="95"/>
      <c r="I337" s="95"/>
    </row>
    <row r="338" spans="1:9" ht="12">
      <c r="A338" s="95"/>
      <c r="B338" s="95"/>
      <c r="C338" s="95"/>
      <c r="D338" s="95"/>
      <c r="E338" s="95"/>
      <c r="F338" s="95"/>
      <c r="G338" s="95"/>
      <c r="H338" s="95"/>
      <c r="I338" s="95"/>
    </row>
    <row r="339" spans="1:9" ht="12">
      <c r="A339" s="95"/>
      <c r="B339" s="95"/>
      <c r="C339" s="95"/>
      <c r="D339" s="95"/>
      <c r="E339" s="95"/>
      <c r="F339" s="95"/>
      <c r="G339" s="95"/>
      <c r="H339" s="95"/>
      <c r="I339" s="95"/>
    </row>
    <row r="340" spans="1:9" ht="12">
      <c r="A340" s="95"/>
      <c r="B340" s="95"/>
      <c r="C340" s="95"/>
      <c r="D340" s="95"/>
      <c r="E340" s="95"/>
      <c r="F340" s="95"/>
      <c r="G340" s="95"/>
      <c r="H340" s="95"/>
      <c r="I340" s="95"/>
    </row>
    <row r="341" spans="1:9" ht="12">
      <c r="A341" s="95"/>
      <c r="B341" s="95"/>
      <c r="C341" s="95"/>
      <c r="D341" s="95"/>
      <c r="E341" s="95"/>
      <c r="F341" s="95"/>
      <c r="G341" s="95"/>
      <c r="H341" s="95"/>
      <c r="I341" s="95"/>
    </row>
    <row r="342" spans="1:9" ht="12">
      <c r="A342" s="95"/>
      <c r="B342" s="95"/>
      <c r="C342" s="95"/>
      <c r="D342" s="95"/>
      <c r="E342" s="95"/>
      <c r="F342" s="95"/>
      <c r="G342" s="95"/>
      <c r="H342" s="95"/>
      <c r="I342" s="95"/>
    </row>
    <row r="343" spans="1:9" ht="12">
      <c r="A343" s="95"/>
      <c r="B343" s="95"/>
      <c r="C343" s="95"/>
      <c r="D343" s="95"/>
      <c r="E343" s="95"/>
      <c r="F343" s="95"/>
      <c r="G343" s="95"/>
      <c r="H343" s="95"/>
      <c r="I343" s="95"/>
    </row>
    <row r="344" spans="1:9" ht="12">
      <c r="A344" s="95"/>
      <c r="B344" s="95"/>
      <c r="C344" s="95"/>
      <c r="D344" s="95"/>
      <c r="E344" s="95"/>
      <c r="F344" s="95"/>
      <c r="G344" s="95"/>
      <c r="H344" s="95"/>
      <c r="I344" s="95"/>
    </row>
    <row r="345" spans="1:9" ht="12">
      <c r="A345" s="95"/>
      <c r="B345" s="95"/>
      <c r="C345" s="95"/>
      <c r="D345" s="95"/>
      <c r="E345" s="95"/>
      <c r="F345" s="95"/>
      <c r="G345" s="95"/>
      <c r="H345" s="95"/>
      <c r="I345" s="95"/>
    </row>
    <row r="346" spans="1:9" ht="12">
      <c r="A346" s="95"/>
      <c r="B346" s="95"/>
      <c r="C346" s="152"/>
      <c r="D346" s="152"/>
      <c r="E346" s="152"/>
      <c r="F346" s="152"/>
      <c r="G346" s="152"/>
      <c r="H346" s="95"/>
      <c r="I346" s="95"/>
    </row>
    <row r="347" spans="1:7" ht="12">
      <c r="A347" s="95"/>
      <c r="B347" s="95"/>
      <c r="C347" s="152"/>
      <c r="D347" s="152"/>
      <c r="E347" s="152"/>
      <c r="F347" s="152"/>
      <c r="G347" s="152"/>
    </row>
    <row r="348" spans="1:7" ht="12">
      <c r="A348" s="95"/>
      <c r="B348" s="95"/>
      <c r="C348" s="152"/>
      <c r="D348" s="152"/>
      <c r="E348" s="152"/>
      <c r="F348" s="156"/>
      <c r="G348" s="152"/>
    </row>
    <row r="349" spans="1:7" ht="12">
      <c r="A349" s="95"/>
      <c r="B349" s="95"/>
      <c r="C349" s="152"/>
      <c r="D349" s="152"/>
      <c r="E349" s="152"/>
      <c r="F349" s="157"/>
      <c r="G349" s="152"/>
    </row>
    <row r="350" spans="3:7" ht="12">
      <c r="C350" s="151"/>
      <c r="D350" s="151"/>
      <c r="E350" s="151"/>
      <c r="F350" s="151"/>
      <c r="G350" s="151"/>
    </row>
  </sheetData>
  <sheetProtection/>
  <mergeCells count="52">
    <mergeCell ref="A298:B298"/>
    <mergeCell ref="A255:B255"/>
    <mergeCell ref="C255:D255"/>
    <mergeCell ref="A256:B256"/>
    <mergeCell ref="C256:D256"/>
    <mergeCell ref="A206:B206"/>
    <mergeCell ref="C206:D206"/>
    <mergeCell ref="A248:B248"/>
    <mergeCell ref="A254:B254"/>
    <mergeCell ref="C254:D254"/>
    <mergeCell ref="A198:B198"/>
    <mergeCell ref="A204:B204"/>
    <mergeCell ref="C204:D204"/>
    <mergeCell ref="A205:B205"/>
    <mergeCell ref="C205:D205"/>
    <mergeCell ref="A155:B155"/>
    <mergeCell ref="C155:D155"/>
    <mergeCell ref="A156:B156"/>
    <mergeCell ref="C156:D156"/>
    <mergeCell ref="A154:B154"/>
    <mergeCell ref="C154:D154"/>
    <mergeCell ref="C99:E99"/>
    <mergeCell ref="A104:B104"/>
    <mergeCell ref="C104:D104"/>
    <mergeCell ref="A105:B105"/>
    <mergeCell ref="C105:D105"/>
    <mergeCell ref="C54:D54"/>
    <mergeCell ref="A55:B55"/>
    <mergeCell ref="C55:D55"/>
    <mergeCell ref="A106:B106"/>
    <mergeCell ref="C106:D106"/>
    <mergeCell ref="A148:B148"/>
    <mergeCell ref="A47:B47"/>
    <mergeCell ref="C47:E47"/>
    <mergeCell ref="A202:G202"/>
    <mergeCell ref="A252:G252"/>
    <mergeCell ref="A56:B56"/>
    <mergeCell ref="C56:D56"/>
    <mergeCell ref="A98:B98"/>
    <mergeCell ref="C98:E98"/>
    <mergeCell ref="C48:E48"/>
    <mergeCell ref="A54:B54"/>
    <mergeCell ref="A1:G1"/>
    <mergeCell ref="A52:G52"/>
    <mergeCell ref="A102:G102"/>
    <mergeCell ref="A152:G152"/>
    <mergeCell ref="A3:B3"/>
    <mergeCell ref="A4:B4"/>
    <mergeCell ref="A5:B5"/>
    <mergeCell ref="C3:D3"/>
    <mergeCell ref="C4:D4"/>
    <mergeCell ref="C5:D5"/>
  </mergeCells>
  <printOptions/>
  <pageMargins left="0.9055118110236221" right="0.7480314960629921" top="1.535433070866142" bottom="0.984251968503937" header="0" footer="0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U660"/>
  <sheetViews>
    <sheetView zoomScalePageLayoutView="0" workbookViewId="0" topLeftCell="A1">
      <selection activeCell="P531" sqref="P531"/>
    </sheetView>
  </sheetViews>
  <sheetFormatPr defaultColWidth="11.421875" defaultRowHeight="12.75"/>
  <cols>
    <col min="1" max="1" width="4.7109375" style="10" customWidth="1"/>
    <col min="2" max="3" width="6.421875" style="10" customWidth="1"/>
    <col min="4" max="4" width="11.57421875" style="10" customWidth="1"/>
    <col min="5" max="5" width="8.8515625" style="10" customWidth="1"/>
    <col min="6" max="6" width="7.28125" style="10" customWidth="1"/>
    <col min="7" max="7" width="9.00390625" style="10" customWidth="1"/>
    <col min="8" max="8" width="6.7109375" style="10" customWidth="1"/>
    <col min="9" max="9" width="7.57421875" style="10" customWidth="1"/>
    <col min="10" max="10" width="8.28125" style="10" customWidth="1"/>
    <col min="11" max="11" width="9.00390625" style="10" customWidth="1"/>
    <col min="12" max="12" width="7.00390625" style="10" customWidth="1"/>
    <col min="13" max="13" width="8.421875" style="10" customWidth="1"/>
    <col min="14" max="15" width="11.421875" style="10" customWidth="1"/>
    <col min="16" max="16" width="13.57421875" style="10" customWidth="1"/>
    <col min="17" max="16384" width="11.421875" style="10" customWidth="1"/>
  </cols>
  <sheetData>
    <row r="1" spans="1:13" ht="13.5" thickBot="1">
      <c r="A1" s="637" t="s">
        <v>237</v>
      </c>
      <c r="B1" s="638"/>
      <c r="C1" s="638"/>
      <c r="D1" s="638"/>
      <c r="E1" s="638"/>
      <c r="F1" s="638"/>
      <c r="G1" s="638"/>
      <c r="H1" s="638"/>
      <c r="I1" s="638"/>
      <c r="J1" s="638"/>
      <c r="K1" s="638"/>
      <c r="L1" s="638"/>
      <c r="M1" s="639"/>
    </row>
    <row r="2" spans="1:13" ht="13.5" thickBot="1">
      <c r="A2" s="69"/>
      <c r="B2" s="6"/>
      <c r="C2" s="6"/>
      <c r="D2" s="9"/>
      <c r="E2" s="9"/>
      <c r="F2" s="9"/>
      <c r="G2" s="9"/>
      <c r="H2" s="9"/>
      <c r="I2" s="9"/>
      <c r="J2" s="9"/>
      <c r="K2" s="9"/>
      <c r="L2" s="9"/>
      <c r="M2" s="76"/>
    </row>
    <row r="3" spans="1:13" ht="13.5" thickTop="1">
      <c r="A3" s="723" t="s">
        <v>2</v>
      </c>
      <c r="B3" s="724"/>
      <c r="C3" s="725"/>
      <c r="D3" s="177" t="s">
        <v>3</v>
      </c>
      <c r="E3" s="9"/>
      <c r="F3" s="9"/>
      <c r="G3" s="9"/>
      <c r="H3" s="9"/>
      <c r="I3" s="9"/>
      <c r="J3" s="9"/>
      <c r="K3" s="9"/>
      <c r="L3" s="9"/>
      <c r="M3" s="76"/>
    </row>
    <row r="4" spans="1:13" ht="12.75">
      <c r="A4" s="726" t="s">
        <v>1</v>
      </c>
      <c r="B4" s="727"/>
      <c r="C4" s="728"/>
      <c r="D4" s="178" t="s">
        <v>206</v>
      </c>
      <c r="E4" s="12"/>
      <c r="F4" s="9"/>
      <c r="G4" s="9"/>
      <c r="H4" s="9"/>
      <c r="I4" s="9"/>
      <c r="J4" s="9"/>
      <c r="K4" s="9"/>
      <c r="L4" s="9"/>
      <c r="M4" s="76"/>
    </row>
    <row r="5" spans="1:13" ht="13.5" thickBot="1">
      <c r="A5" s="729" t="s">
        <v>4</v>
      </c>
      <c r="B5" s="730"/>
      <c r="C5" s="731"/>
      <c r="D5" s="456" t="s">
        <v>5</v>
      </c>
      <c r="E5" s="6"/>
      <c r="F5" s="9"/>
      <c r="G5" s="9"/>
      <c r="H5" s="9"/>
      <c r="I5" s="9"/>
      <c r="J5" s="9"/>
      <c r="K5" s="9"/>
      <c r="L5" s="9"/>
      <c r="M5" s="76"/>
    </row>
    <row r="6" spans="1:13" ht="13.5" thickTop="1">
      <c r="A6" s="82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76"/>
    </row>
    <row r="7" spans="1:13" ht="12.75">
      <c r="A7" s="82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76"/>
    </row>
    <row r="8" spans="1:13" ht="13.5" thickBot="1">
      <c r="A8" s="82"/>
      <c r="B8" s="9"/>
      <c r="C8" s="9"/>
      <c r="D8" s="722" t="s">
        <v>78</v>
      </c>
      <c r="E8" s="722"/>
      <c r="F8" s="722"/>
      <c r="G8" s="722"/>
      <c r="H8" s="722"/>
      <c r="I8" s="722"/>
      <c r="J8" s="722"/>
      <c r="K8" s="9"/>
      <c r="L8" s="9"/>
      <c r="M8" s="76"/>
    </row>
    <row r="9" spans="1:13" ht="14.25" thickBot="1">
      <c r="A9" s="82"/>
      <c r="B9" s="9"/>
      <c r="C9" s="9"/>
      <c r="D9" s="307" t="s">
        <v>79</v>
      </c>
      <c r="E9" s="307" t="s">
        <v>80</v>
      </c>
      <c r="F9" s="307" t="s">
        <v>81</v>
      </c>
      <c r="G9" s="717" t="s">
        <v>115</v>
      </c>
      <c r="H9" s="718"/>
      <c r="I9" s="457" t="s">
        <v>100</v>
      </c>
      <c r="J9" s="308" t="s">
        <v>99</v>
      </c>
      <c r="K9" s="9"/>
      <c r="L9" s="9"/>
      <c r="M9" s="76"/>
    </row>
    <row r="10" spans="1:13" ht="14.25" thickBot="1">
      <c r="A10" s="82"/>
      <c r="B10" s="9"/>
      <c r="C10" s="9"/>
      <c r="D10" s="458">
        <v>1</v>
      </c>
      <c r="E10" s="459">
        <f>limites!F36</f>
        <v>35.55163834125972</v>
      </c>
      <c r="F10" s="460">
        <f>limites!F37</f>
        <v>37.7791229486145</v>
      </c>
      <c r="G10" s="743" t="s">
        <v>183</v>
      </c>
      <c r="H10" s="744"/>
      <c r="I10" s="461">
        <f>compactacion!F48</f>
        <v>18.5</v>
      </c>
      <c r="J10" s="462">
        <f>compactacion!F47</f>
        <v>1.705</v>
      </c>
      <c r="K10" s="9"/>
      <c r="L10" s="9"/>
      <c r="M10" s="76"/>
    </row>
    <row r="11" spans="1:13" ht="9.75" customHeight="1">
      <c r="A11" s="82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76"/>
    </row>
    <row r="12" spans="1:13" ht="13.5" thickBot="1">
      <c r="A12" s="82"/>
      <c r="B12" s="9"/>
      <c r="C12" s="9"/>
      <c r="D12" s="722" t="s">
        <v>101</v>
      </c>
      <c r="E12" s="722"/>
      <c r="F12" s="722"/>
      <c r="G12" s="722"/>
      <c r="H12" s="722"/>
      <c r="I12" s="722"/>
      <c r="J12" s="722"/>
      <c r="K12" s="9"/>
      <c r="L12" s="9"/>
      <c r="M12" s="76"/>
    </row>
    <row r="13" spans="1:13" ht="13.5" thickTop="1">
      <c r="A13" s="463" t="s">
        <v>142</v>
      </c>
      <c r="B13" s="464"/>
      <c r="C13" s="465"/>
      <c r="D13" s="466"/>
      <c r="E13" s="683">
        <v>9</v>
      </c>
      <c r="F13" s="684"/>
      <c r="G13" s="686"/>
      <c r="H13" s="683">
        <v>6</v>
      </c>
      <c r="I13" s="684"/>
      <c r="J13" s="686"/>
      <c r="K13" s="683">
        <v>7</v>
      </c>
      <c r="L13" s="684"/>
      <c r="M13" s="685"/>
    </row>
    <row r="14" spans="1:18" ht="12.75">
      <c r="A14" s="467" t="s">
        <v>143</v>
      </c>
      <c r="B14" s="468"/>
      <c r="C14" s="469"/>
      <c r="D14" s="470"/>
      <c r="E14" s="687">
        <v>5</v>
      </c>
      <c r="F14" s="688"/>
      <c r="G14" s="689"/>
      <c r="H14" s="687">
        <v>5</v>
      </c>
      <c r="I14" s="688"/>
      <c r="J14" s="689"/>
      <c r="K14" s="687">
        <v>5</v>
      </c>
      <c r="L14" s="688"/>
      <c r="M14" s="719"/>
      <c r="P14" s="10" t="s">
        <v>159</v>
      </c>
      <c r="Q14" s="10" t="s">
        <v>160</v>
      </c>
      <c r="R14" s="10" t="s">
        <v>161</v>
      </c>
    </row>
    <row r="15" spans="1:18" ht="12.75">
      <c r="A15" s="471" t="s">
        <v>144</v>
      </c>
      <c r="B15" s="472"/>
      <c r="C15" s="473"/>
      <c r="D15" s="474"/>
      <c r="E15" s="710">
        <v>56</v>
      </c>
      <c r="F15" s="711"/>
      <c r="G15" s="712"/>
      <c r="H15" s="710">
        <v>25</v>
      </c>
      <c r="I15" s="711"/>
      <c r="J15" s="712"/>
      <c r="K15" s="710">
        <v>12</v>
      </c>
      <c r="L15" s="711"/>
      <c r="M15" s="713"/>
      <c r="O15" s="10" t="s">
        <v>163</v>
      </c>
      <c r="P15" s="17">
        <v>11.53</v>
      </c>
      <c r="Q15" s="17">
        <v>11.53</v>
      </c>
      <c r="R15" s="17">
        <v>11.58</v>
      </c>
    </row>
    <row r="16" spans="1:21" ht="12.75">
      <c r="A16" s="475" t="s">
        <v>145</v>
      </c>
      <c r="B16" s="476"/>
      <c r="C16" s="477"/>
      <c r="D16" s="478"/>
      <c r="E16" s="738" t="s">
        <v>83</v>
      </c>
      <c r="F16" s="739"/>
      <c r="G16" s="507" t="s">
        <v>116</v>
      </c>
      <c r="H16" s="738" t="s">
        <v>83</v>
      </c>
      <c r="I16" s="739"/>
      <c r="J16" s="507" t="s">
        <v>116</v>
      </c>
      <c r="K16" s="738" t="s">
        <v>83</v>
      </c>
      <c r="L16" s="739"/>
      <c r="M16" s="508" t="s">
        <v>116</v>
      </c>
      <c r="O16" s="10" t="s">
        <v>162</v>
      </c>
      <c r="P16" s="17">
        <v>15</v>
      </c>
      <c r="Q16" s="17">
        <v>15.05</v>
      </c>
      <c r="R16" s="17">
        <v>15.15</v>
      </c>
      <c r="S16" s="16"/>
      <c r="T16" s="16"/>
      <c r="U16" s="16"/>
    </row>
    <row r="17" spans="1:21" ht="12.75">
      <c r="A17" s="482" t="s">
        <v>146</v>
      </c>
      <c r="B17" s="483"/>
      <c r="C17" s="484"/>
      <c r="D17" s="485"/>
      <c r="E17" s="708">
        <v>8108</v>
      </c>
      <c r="F17" s="709"/>
      <c r="G17" s="487">
        <v>8560</v>
      </c>
      <c r="H17" s="708">
        <v>7995</v>
      </c>
      <c r="I17" s="709"/>
      <c r="J17" s="487">
        <v>8410</v>
      </c>
      <c r="K17" s="740">
        <v>7785</v>
      </c>
      <c r="L17" s="709"/>
      <c r="M17" s="488">
        <v>8213</v>
      </c>
      <c r="O17" s="10" t="s">
        <v>164</v>
      </c>
      <c r="P17" s="19">
        <f>(PI()*P16^2/4)*P15</f>
        <v>2037.51918539383</v>
      </c>
      <c r="Q17" s="19">
        <f>(PI()*Q16^2/4)*Q15</f>
        <v>2051.125285731849</v>
      </c>
      <c r="R17" s="19">
        <f>(PI()*R16^2/4)*R15</f>
        <v>2087.486648518166</v>
      </c>
      <c r="S17" s="52"/>
      <c r="T17" s="52"/>
      <c r="U17" s="53"/>
    </row>
    <row r="18" spans="1:21" ht="12.75">
      <c r="A18" s="467" t="s">
        <v>147</v>
      </c>
      <c r="B18" s="468"/>
      <c r="C18" s="469"/>
      <c r="D18" s="470"/>
      <c r="E18" s="688">
        <v>4043</v>
      </c>
      <c r="F18" s="689"/>
      <c r="G18" s="489">
        <v>4043</v>
      </c>
      <c r="H18" s="687">
        <v>4191</v>
      </c>
      <c r="I18" s="689"/>
      <c r="J18" s="489">
        <v>4191</v>
      </c>
      <c r="K18" s="687">
        <v>4142</v>
      </c>
      <c r="L18" s="689"/>
      <c r="M18" s="490">
        <v>4142</v>
      </c>
      <c r="Q18" s="26"/>
      <c r="R18" s="26"/>
      <c r="S18" s="52"/>
      <c r="T18" s="52"/>
      <c r="U18" s="53"/>
    </row>
    <row r="19" spans="1:21" ht="12.75">
      <c r="A19" s="467" t="s">
        <v>153</v>
      </c>
      <c r="B19" s="468"/>
      <c r="C19" s="469"/>
      <c r="D19" s="470"/>
      <c r="E19" s="701">
        <f>E17-E18</f>
        <v>4065</v>
      </c>
      <c r="F19" s="702"/>
      <c r="G19" s="489">
        <f>G17-G18</f>
        <v>4517</v>
      </c>
      <c r="H19" s="701">
        <f>H17-H18</f>
        <v>3804</v>
      </c>
      <c r="I19" s="702"/>
      <c r="J19" s="489">
        <f>J17-J18</f>
        <v>4219</v>
      </c>
      <c r="K19" s="703">
        <f>K17-K18</f>
        <v>3643</v>
      </c>
      <c r="L19" s="702"/>
      <c r="M19" s="490">
        <f>M17-M18</f>
        <v>4071</v>
      </c>
      <c r="O19" s="19"/>
      <c r="Q19" s="26"/>
      <c r="R19" s="26"/>
      <c r="S19" s="31"/>
      <c r="T19" s="31"/>
      <c r="U19" s="31"/>
    </row>
    <row r="20" spans="1:21" ht="12.75">
      <c r="A20" s="467" t="s">
        <v>148</v>
      </c>
      <c r="B20" s="468"/>
      <c r="C20" s="469"/>
      <c r="D20" s="470"/>
      <c r="E20" s="701">
        <v>2097</v>
      </c>
      <c r="F20" s="689"/>
      <c r="G20" s="491">
        <v>2097</v>
      </c>
      <c r="H20" s="703">
        <v>2072</v>
      </c>
      <c r="I20" s="689"/>
      <c r="J20" s="491">
        <v>2072</v>
      </c>
      <c r="K20" s="703">
        <v>2069</v>
      </c>
      <c r="L20" s="689"/>
      <c r="M20" s="492">
        <v>2069</v>
      </c>
      <c r="Q20" s="26"/>
      <c r="R20" s="26"/>
      <c r="S20" s="54"/>
      <c r="T20" s="54"/>
      <c r="U20" s="54"/>
    </row>
    <row r="21" spans="1:21" ht="13.5">
      <c r="A21" s="471" t="s">
        <v>166</v>
      </c>
      <c r="B21" s="472"/>
      <c r="C21" s="473"/>
      <c r="D21" s="474"/>
      <c r="E21" s="704">
        <f>E19/E20</f>
        <v>1.938483547925608</v>
      </c>
      <c r="F21" s="705"/>
      <c r="G21" s="493">
        <f>G19/G20</f>
        <v>2.1540295660467335</v>
      </c>
      <c r="H21" s="704">
        <f>H19/H20</f>
        <v>1.835907335907336</v>
      </c>
      <c r="I21" s="705"/>
      <c r="J21" s="493">
        <f>J19/J20</f>
        <v>2.036196911196911</v>
      </c>
      <c r="K21" s="736">
        <f>K19/K20</f>
        <v>1.7607539874335427</v>
      </c>
      <c r="L21" s="705"/>
      <c r="M21" s="494">
        <f>M19/M20</f>
        <v>1.9676172063798936</v>
      </c>
      <c r="Q21" s="26"/>
      <c r="R21" s="26"/>
      <c r="S21" s="55"/>
      <c r="T21" s="55"/>
      <c r="U21" s="55"/>
    </row>
    <row r="22" spans="1:21" ht="12.75">
      <c r="A22" s="475" t="s">
        <v>149</v>
      </c>
      <c r="B22" s="476"/>
      <c r="C22" s="477"/>
      <c r="D22" s="478"/>
      <c r="E22" s="520" t="s">
        <v>82</v>
      </c>
      <c r="F22" s="521" t="s">
        <v>117</v>
      </c>
      <c r="G22" s="521" t="s">
        <v>129</v>
      </c>
      <c r="H22" s="521" t="s">
        <v>82</v>
      </c>
      <c r="I22" s="521" t="s">
        <v>117</v>
      </c>
      <c r="J22" s="521" t="s">
        <v>129</v>
      </c>
      <c r="K22" s="521" t="s">
        <v>82</v>
      </c>
      <c r="L22" s="521" t="s">
        <v>117</v>
      </c>
      <c r="M22" s="522" t="s">
        <v>129</v>
      </c>
      <c r="Q22" s="26"/>
      <c r="R22" s="26"/>
      <c r="S22" s="31"/>
      <c r="T22" s="31"/>
      <c r="U22" s="16"/>
    </row>
    <row r="23" spans="1:21" ht="12.75">
      <c r="A23" s="482" t="s">
        <v>154</v>
      </c>
      <c r="B23" s="483"/>
      <c r="C23" s="484"/>
      <c r="D23" s="485"/>
      <c r="E23" s="486" t="s">
        <v>173</v>
      </c>
      <c r="F23" s="487"/>
      <c r="G23" s="487" t="s">
        <v>171</v>
      </c>
      <c r="H23" s="487" t="s">
        <v>176</v>
      </c>
      <c r="I23" s="487"/>
      <c r="J23" s="487" t="s">
        <v>182</v>
      </c>
      <c r="K23" s="487" t="s">
        <v>199</v>
      </c>
      <c r="L23" s="487"/>
      <c r="M23" s="488" t="s">
        <v>181</v>
      </c>
      <c r="Q23" s="26"/>
      <c r="R23" s="26"/>
      <c r="S23" s="52"/>
      <c r="T23" s="52"/>
      <c r="U23" s="52"/>
    </row>
    <row r="24" spans="1:21" ht="12.75">
      <c r="A24" s="467" t="s">
        <v>155</v>
      </c>
      <c r="B24" s="468"/>
      <c r="C24" s="469"/>
      <c r="D24" s="470"/>
      <c r="E24" s="497">
        <v>97.3</v>
      </c>
      <c r="F24" s="497"/>
      <c r="G24" s="498">
        <v>147.7</v>
      </c>
      <c r="H24" s="498">
        <v>95.1</v>
      </c>
      <c r="I24" s="498"/>
      <c r="J24" s="498">
        <v>146.2</v>
      </c>
      <c r="K24" s="498">
        <v>102.2</v>
      </c>
      <c r="L24" s="498"/>
      <c r="M24" s="499">
        <v>142.8</v>
      </c>
      <c r="Q24" s="26"/>
      <c r="R24" s="26"/>
      <c r="S24" s="52"/>
      <c r="T24" s="52"/>
      <c r="U24" s="53"/>
    </row>
    <row r="25" spans="1:21" ht="12.75">
      <c r="A25" s="467" t="s">
        <v>156</v>
      </c>
      <c r="B25" s="468"/>
      <c r="C25" s="469"/>
      <c r="D25" s="470"/>
      <c r="E25" s="497">
        <v>93.9</v>
      </c>
      <c r="F25" s="498"/>
      <c r="G25" s="498">
        <v>134.2</v>
      </c>
      <c r="H25" s="498">
        <v>92.5</v>
      </c>
      <c r="I25" s="498"/>
      <c r="J25" s="498">
        <v>131.7</v>
      </c>
      <c r="K25" s="498">
        <v>98.5</v>
      </c>
      <c r="L25" s="498"/>
      <c r="M25" s="499">
        <v>127.6</v>
      </c>
      <c r="Q25" s="26"/>
      <c r="R25" s="26"/>
      <c r="S25" s="52"/>
      <c r="T25" s="52"/>
      <c r="U25" s="53"/>
    </row>
    <row r="26" spans="1:21" ht="12.75">
      <c r="A26" s="467" t="s">
        <v>150</v>
      </c>
      <c r="B26" s="468"/>
      <c r="C26" s="469"/>
      <c r="D26" s="470"/>
      <c r="E26" s="497">
        <f>E24-E25</f>
        <v>3.3999999999999915</v>
      </c>
      <c r="F26" s="497"/>
      <c r="G26" s="498">
        <f>G24-G25</f>
        <v>13.5</v>
      </c>
      <c r="H26" s="497">
        <f>H24-H25</f>
        <v>2.5999999999999943</v>
      </c>
      <c r="I26" s="497"/>
      <c r="J26" s="497">
        <f>J24-J25</f>
        <v>14.5</v>
      </c>
      <c r="K26" s="498">
        <f>K24-K25</f>
        <v>3.700000000000003</v>
      </c>
      <c r="L26" s="497"/>
      <c r="M26" s="500">
        <f>M24-M25</f>
        <v>15.200000000000017</v>
      </c>
      <c r="Q26" s="26"/>
      <c r="R26" s="26"/>
      <c r="S26" s="31"/>
      <c r="T26" s="31"/>
      <c r="U26" s="31"/>
    </row>
    <row r="27" spans="1:21" ht="12.75">
      <c r="A27" s="467" t="s">
        <v>157</v>
      </c>
      <c r="B27" s="468"/>
      <c r="C27" s="469"/>
      <c r="D27" s="470"/>
      <c r="E27" s="497">
        <v>70.3</v>
      </c>
      <c r="F27" s="498"/>
      <c r="G27" s="498">
        <v>83.6</v>
      </c>
      <c r="H27" s="498">
        <v>73.9</v>
      </c>
      <c r="I27" s="498"/>
      <c r="J27" s="498">
        <v>76.3</v>
      </c>
      <c r="K27" s="498">
        <v>72.7</v>
      </c>
      <c r="L27" s="498"/>
      <c r="M27" s="499">
        <v>72.5</v>
      </c>
      <c r="Q27" s="26"/>
      <c r="R27" s="26"/>
      <c r="S27" s="52"/>
      <c r="T27" s="52"/>
      <c r="U27" s="53"/>
    </row>
    <row r="28" spans="1:21" ht="12.75">
      <c r="A28" s="467" t="s">
        <v>151</v>
      </c>
      <c r="B28" s="468"/>
      <c r="C28" s="469"/>
      <c r="D28" s="470"/>
      <c r="E28" s="497">
        <f>E25-E27</f>
        <v>23.60000000000001</v>
      </c>
      <c r="F28" s="497"/>
      <c r="G28" s="498">
        <f>G25-G27</f>
        <v>50.599999999999994</v>
      </c>
      <c r="H28" s="497">
        <f>H25-H27</f>
        <v>18.599999999999994</v>
      </c>
      <c r="I28" s="497"/>
      <c r="J28" s="497">
        <f>J25-J27</f>
        <v>55.39999999999999</v>
      </c>
      <c r="K28" s="498">
        <f>K25-K27</f>
        <v>25.799999999999997</v>
      </c>
      <c r="L28" s="497"/>
      <c r="M28" s="500">
        <f>M25-M27</f>
        <v>55.099999999999994</v>
      </c>
      <c r="Q28" s="26"/>
      <c r="R28" s="26"/>
      <c r="S28" s="31"/>
      <c r="T28" s="31"/>
      <c r="U28" s="31"/>
    </row>
    <row r="29" spans="1:21" ht="12.75">
      <c r="A29" s="467" t="s">
        <v>158</v>
      </c>
      <c r="B29" s="468"/>
      <c r="C29" s="469"/>
      <c r="D29" s="470"/>
      <c r="E29" s="497">
        <f>(E26/E28)*100</f>
        <v>14.406779661016907</v>
      </c>
      <c r="F29" s="497"/>
      <c r="G29" s="497">
        <f>(G26/G28)*100</f>
        <v>26.679841897233203</v>
      </c>
      <c r="H29" s="497">
        <f>H26*100/H28</f>
        <v>13.978494623655887</v>
      </c>
      <c r="I29" s="497"/>
      <c r="J29" s="497">
        <f>(J26/J28)*100</f>
        <v>26.173285198555963</v>
      </c>
      <c r="K29" s="498">
        <f>K26*100/K28</f>
        <v>14.341085271317842</v>
      </c>
      <c r="L29" s="497"/>
      <c r="M29" s="500">
        <f>(M26/M28)*100</f>
        <v>27.586206896551758</v>
      </c>
      <c r="Q29" s="26"/>
      <c r="R29" s="26"/>
      <c r="S29" s="56"/>
      <c r="T29" s="56"/>
      <c r="U29" s="56"/>
    </row>
    <row r="30" spans="1:21" ht="12.75">
      <c r="A30" s="467" t="s">
        <v>152</v>
      </c>
      <c r="B30" s="468"/>
      <c r="C30" s="469"/>
      <c r="D30" s="470"/>
      <c r="E30" s="706">
        <f>AVERAGE(E29:F29)</f>
        <v>14.406779661016907</v>
      </c>
      <c r="F30" s="707"/>
      <c r="G30" s="498"/>
      <c r="H30" s="706">
        <f>AVERAGE(H29:I29)</f>
        <v>13.978494623655887</v>
      </c>
      <c r="I30" s="707"/>
      <c r="J30" s="498"/>
      <c r="K30" s="737">
        <f>AVERAGE(K29:L29)</f>
        <v>14.341085271317842</v>
      </c>
      <c r="L30" s="707"/>
      <c r="M30" s="499"/>
      <c r="Q30" s="26"/>
      <c r="R30" s="26"/>
      <c r="S30" s="56"/>
      <c r="T30" s="56"/>
      <c r="U30" s="56"/>
    </row>
    <row r="31" spans="1:21" ht="14.25" thickBot="1">
      <c r="A31" s="501" t="s">
        <v>167</v>
      </c>
      <c r="B31" s="502"/>
      <c r="C31" s="503"/>
      <c r="D31" s="504"/>
      <c r="E31" s="677">
        <f>(E21*100/(E30+100))</f>
        <v>1.6943782122609023</v>
      </c>
      <c r="F31" s="678"/>
      <c r="G31" s="505"/>
      <c r="H31" s="677">
        <f>(H21*100/(H30+100))</f>
        <v>1.610748889050776</v>
      </c>
      <c r="I31" s="678"/>
      <c r="J31" s="505"/>
      <c r="K31" s="735">
        <f>(K21*100/(K30+100))</f>
        <v>1.5399136568062848</v>
      </c>
      <c r="L31" s="678"/>
      <c r="M31" s="506"/>
      <c r="Q31" s="26"/>
      <c r="R31" s="26"/>
      <c r="S31" s="55"/>
      <c r="T31" s="55"/>
      <c r="U31" s="55"/>
    </row>
    <row r="32" spans="1:13" ht="7.5" customHeight="1" thickTop="1">
      <c r="A32" s="114"/>
      <c r="B32" s="26"/>
      <c r="C32" s="26"/>
      <c r="D32" s="26"/>
      <c r="E32" s="27"/>
      <c r="F32" s="27"/>
      <c r="G32" s="26"/>
      <c r="H32" s="27"/>
      <c r="I32" s="27"/>
      <c r="J32" s="26"/>
      <c r="K32" s="27"/>
      <c r="L32" s="27"/>
      <c r="M32" s="115"/>
    </row>
    <row r="33" spans="1:13" ht="7.5" customHeight="1">
      <c r="A33" s="114"/>
      <c r="B33" s="26"/>
      <c r="C33" s="26"/>
      <c r="D33" s="26"/>
      <c r="E33" s="27"/>
      <c r="F33" s="27"/>
      <c r="G33" s="26"/>
      <c r="H33" s="27"/>
      <c r="I33" s="27"/>
      <c r="J33" s="26"/>
      <c r="K33" s="27"/>
      <c r="L33" s="27"/>
      <c r="M33" s="115"/>
    </row>
    <row r="34" spans="1:13" ht="13.5" thickBot="1">
      <c r="A34" s="692" t="s">
        <v>90</v>
      </c>
      <c r="B34" s="693"/>
      <c r="C34" s="693"/>
      <c r="D34" s="693"/>
      <c r="E34" s="693"/>
      <c r="F34" s="693"/>
      <c r="G34" s="693"/>
      <c r="H34" s="693"/>
      <c r="I34" s="693"/>
      <c r="J34" s="693"/>
      <c r="K34" s="693"/>
      <c r="L34" s="693"/>
      <c r="M34" s="694"/>
    </row>
    <row r="35" spans="1:13" ht="13.5" thickTop="1">
      <c r="A35" s="671" t="s">
        <v>84</v>
      </c>
      <c r="B35" s="672"/>
      <c r="C35" s="672" t="s">
        <v>85</v>
      </c>
      <c r="D35" s="523" t="s">
        <v>86</v>
      </c>
      <c r="E35" s="675" t="s">
        <v>87</v>
      </c>
      <c r="F35" s="675"/>
      <c r="G35" s="675"/>
      <c r="H35" s="675" t="s">
        <v>118</v>
      </c>
      <c r="I35" s="675"/>
      <c r="J35" s="675"/>
      <c r="K35" s="675" t="s">
        <v>119</v>
      </c>
      <c r="L35" s="675"/>
      <c r="M35" s="676"/>
    </row>
    <row r="36" spans="1:13" ht="12.75">
      <c r="A36" s="673"/>
      <c r="B36" s="674"/>
      <c r="C36" s="674"/>
      <c r="D36" s="524" t="s">
        <v>127</v>
      </c>
      <c r="E36" s="524" t="s">
        <v>88</v>
      </c>
      <c r="F36" s="669" t="s">
        <v>90</v>
      </c>
      <c r="G36" s="669"/>
      <c r="H36" s="524" t="s">
        <v>88</v>
      </c>
      <c r="I36" s="669" t="s">
        <v>90</v>
      </c>
      <c r="J36" s="669"/>
      <c r="K36" s="524" t="s">
        <v>88</v>
      </c>
      <c r="L36" s="669" t="s">
        <v>90</v>
      </c>
      <c r="M36" s="670"/>
    </row>
    <row r="37" spans="1:13" ht="12.75">
      <c r="A37" s="673"/>
      <c r="B37" s="674"/>
      <c r="C37" s="674"/>
      <c r="D37" s="524" t="s">
        <v>128</v>
      </c>
      <c r="E37" s="524" t="s">
        <v>89</v>
      </c>
      <c r="F37" s="524" t="s">
        <v>91</v>
      </c>
      <c r="G37" s="524" t="s">
        <v>23</v>
      </c>
      <c r="H37" s="524" t="s">
        <v>89</v>
      </c>
      <c r="I37" s="524" t="s">
        <v>91</v>
      </c>
      <c r="J37" s="524" t="s">
        <v>23</v>
      </c>
      <c r="K37" s="524" t="s">
        <v>89</v>
      </c>
      <c r="L37" s="524" t="s">
        <v>91</v>
      </c>
      <c r="M37" s="525" t="s">
        <v>23</v>
      </c>
    </row>
    <row r="38" spans="1:13" ht="12.75">
      <c r="A38" s="699">
        <v>39232</v>
      </c>
      <c r="B38" s="700"/>
      <c r="C38" s="515">
        <v>0.5833333333333334</v>
      </c>
      <c r="D38" s="696">
        <v>4</v>
      </c>
      <c r="E38" s="516">
        <v>0.041</v>
      </c>
      <c r="F38" s="517">
        <f>E38*2.54</f>
        <v>0.10414000000000001</v>
      </c>
      <c r="G38" s="517"/>
      <c r="H38" s="516">
        <v>0.304</v>
      </c>
      <c r="I38" s="517">
        <f>H38*2.54</f>
        <v>0.77216</v>
      </c>
      <c r="J38" s="517"/>
      <c r="K38" s="516">
        <v>0.006</v>
      </c>
      <c r="L38" s="517">
        <f>K38*2.54</f>
        <v>0.01524</v>
      </c>
      <c r="M38" s="518"/>
    </row>
    <row r="39" spans="1:13" ht="12.75">
      <c r="A39" s="699"/>
      <c r="B39" s="700"/>
      <c r="C39" s="515"/>
      <c r="D39" s="697"/>
      <c r="E39" s="516"/>
      <c r="F39" s="517"/>
      <c r="G39" s="517"/>
      <c r="H39" s="516"/>
      <c r="I39" s="517"/>
      <c r="J39" s="517"/>
      <c r="K39" s="516"/>
      <c r="L39" s="517"/>
      <c r="M39" s="518"/>
    </row>
    <row r="40" spans="1:13" ht="13.5" thickBot="1">
      <c r="A40" s="732">
        <v>39263</v>
      </c>
      <c r="B40" s="733"/>
      <c r="C40" s="526">
        <f>C38</f>
        <v>0.5833333333333334</v>
      </c>
      <c r="D40" s="734"/>
      <c r="E40" s="527">
        <v>0.059</v>
      </c>
      <c r="F40" s="528">
        <f>E40*2.54</f>
        <v>0.14986</v>
      </c>
      <c r="G40" s="519">
        <f>(F40-F38)*100/P$15</f>
        <v>0.39653078924544655</v>
      </c>
      <c r="H40" s="527">
        <v>0.343</v>
      </c>
      <c r="I40" s="528">
        <f>H40*2.54</f>
        <v>0.8712200000000001</v>
      </c>
      <c r="J40" s="519">
        <f>(I40-I38)*100/Q$15</f>
        <v>0.8591500433651358</v>
      </c>
      <c r="K40" s="527">
        <v>0.048</v>
      </c>
      <c r="L40" s="528">
        <f>K40*2.54</f>
        <v>0.12192</v>
      </c>
      <c r="M40" s="529">
        <f>(L40-L38)*100/R15</f>
        <v>0.9212435233160621</v>
      </c>
    </row>
    <row r="41" spans="1:13" ht="13.5" thickTop="1">
      <c r="A41" s="116"/>
      <c r="B41" s="57"/>
      <c r="C41" s="58"/>
      <c r="D41" s="30"/>
      <c r="E41" s="28"/>
      <c r="F41" s="30"/>
      <c r="G41" s="29"/>
      <c r="H41" s="28"/>
      <c r="I41" s="30"/>
      <c r="J41" s="29"/>
      <c r="K41" s="28"/>
      <c r="L41" s="30"/>
      <c r="M41" s="117"/>
    </row>
    <row r="42" spans="1:13" ht="6.75" customHeight="1">
      <c r="A42" s="114"/>
      <c r="B42" s="26"/>
      <c r="C42" s="26"/>
      <c r="D42" s="26"/>
      <c r="E42" s="26"/>
      <c r="F42" s="26"/>
      <c r="G42" s="9"/>
      <c r="H42" s="9"/>
      <c r="I42" s="26"/>
      <c r="J42" s="26"/>
      <c r="K42" s="26"/>
      <c r="L42" s="26"/>
      <c r="M42" s="115"/>
    </row>
    <row r="43" spans="1:13" ht="13.5" customHeight="1" thickBot="1">
      <c r="A43" s="692" t="s">
        <v>98</v>
      </c>
      <c r="B43" s="693"/>
      <c r="C43" s="693"/>
      <c r="D43" s="693"/>
      <c r="E43" s="693"/>
      <c r="F43" s="693"/>
      <c r="G43" s="693"/>
      <c r="H43" s="693"/>
      <c r="I43" s="693"/>
      <c r="J43" s="693"/>
      <c r="K43" s="693"/>
      <c r="L43" s="693"/>
      <c r="M43" s="694"/>
    </row>
    <row r="44" spans="1:13" ht="13.5" thickTop="1">
      <c r="A44" s="695" t="s">
        <v>92</v>
      </c>
      <c r="B44" s="690"/>
      <c r="C44" s="690"/>
      <c r="D44" s="530" t="s">
        <v>95</v>
      </c>
      <c r="E44" s="690" t="s">
        <v>120</v>
      </c>
      <c r="F44" s="690"/>
      <c r="G44" s="691"/>
      <c r="H44" s="675" t="s">
        <v>121</v>
      </c>
      <c r="I44" s="675"/>
      <c r="J44" s="675"/>
      <c r="K44" s="675" t="s">
        <v>122</v>
      </c>
      <c r="L44" s="675"/>
      <c r="M44" s="676"/>
    </row>
    <row r="45" spans="1:13" ht="12.75">
      <c r="A45" s="531"/>
      <c r="B45" s="532"/>
      <c r="C45" s="532"/>
      <c r="D45" s="533" t="s">
        <v>96</v>
      </c>
      <c r="E45" s="664" t="s">
        <v>123</v>
      </c>
      <c r="F45" s="665"/>
      <c r="G45" s="535" t="s">
        <v>130</v>
      </c>
      <c r="H45" s="664" t="s">
        <v>123</v>
      </c>
      <c r="I45" s="665"/>
      <c r="J45" s="535" t="s">
        <v>130</v>
      </c>
      <c r="K45" s="664" t="s">
        <v>123</v>
      </c>
      <c r="L45" s="665"/>
      <c r="M45" s="536" t="s">
        <v>130</v>
      </c>
    </row>
    <row r="46" spans="1:13" ht="12.75">
      <c r="A46" s="537" t="s">
        <v>93</v>
      </c>
      <c r="B46" s="524" t="s">
        <v>94</v>
      </c>
      <c r="C46" s="524" t="s">
        <v>91</v>
      </c>
      <c r="D46" s="538" t="s">
        <v>97</v>
      </c>
      <c r="E46" s="534" t="s">
        <v>124</v>
      </c>
      <c r="F46" s="524" t="s">
        <v>125</v>
      </c>
      <c r="G46" s="524" t="s">
        <v>23</v>
      </c>
      <c r="H46" s="524" t="s">
        <v>124</v>
      </c>
      <c r="I46" s="524" t="s">
        <v>125</v>
      </c>
      <c r="J46" s="524" t="s">
        <v>23</v>
      </c>
      <c r="K46" s="524" t="s">
        <v>124</v>
      </c>
      <c r="L46" s="524" t="s">
        <v>125</v>
      </c>
      <c r="M46" s="525" t="s">
        <v>23</v>
      </c>
    </row>
    <row r="47" spans="1:13" ht="12.75">
      <c r="A47" s="539">
        <v>0.5</v>
      </c>
      <c r="B47" s="540">
        <v>0.025</v>
      </c>
      <c r="C47" s="541">
        <f aca="true" t="shared" si="0" ref="C47:C54">B47*2.54</f>
        <v>0.0635</v>
      </c>
      <c r="D47" s="509"/>
      <c r="E47" s="509">
        <v>180</v>
      </c>
      <c r="F47" s="509">
        <v>501</v>
      </c>
      <c r="G47" s="509"/>
      <c r="H47" s="509">
        <v>12</v>
      </c>
      <c r="I47" s="509">
        <v>49</v>
      </c>
      <c r="J47" s="509"/>
      <c r="K47" s="509">
        <v>27</v>
      </c>
      <c r="L47" s="509">
        <v>89</v>
      </c>
      <c r="M47" s="510"/>
    </row>
    <row r="48" spans="1:13" ht="12.75">
      <c r="A48" s="542">
        <v>1</v>
      </c>
      <c r="B48" s="543">
        <v>0.05</v>
      </c>
      <c r="C48" s="513">
        <f t="shared" si="0"/>
        <v>0.127</v>
      </c>
      <c r="D48" s="511"/>
      <c r="E48" s="511">
        <v>305</v>
      </c>
      <c r="F48" s="509">
        <v>837</v>
      </c>
      <c r="G48" s="511"/>
      <c r="H48" s="511">
        <v>50</v>
      </c>
      <c r="I48" s="509">
        <v>151</v>
      </c>
      <c r="J48" s="511"/>
      <c r="K48" s="511">
        <v>85</v>
      </c>
      <c r="L48" s="509">
        <v>245</v>
      </c>
      <c r="M48" s="512"/>
    </row>
    <row r="49" spans="1:13" ht="12.75">
      <c r="A49" s="544">
        <v>1.5</v>
      </c>
      <c r="B49" s="543">
        <v>0.075</v>
      </c>
      <c r="C49" s="513">
        <f t="shared" si="0"/>
        <v>0.1905</v>
      </c>
      <c r="D49" s="511"/>
      <c r="E49" s="511">
        <v>423</v>
      </c>
      <c r="F49" s="509">
        <v>1154</v>
      </c>
      <c r="G49" s="511"/>
      <c r="H49" s="511">
        <v>119</v>
      </c>
      <c r="I49" s="509">
        <v>337</v>
      </c>
      <c r="J49" s="511"/>
      <c r="K49" s="511">
        <v>136</v>
      </c>
      <c r="L49" s="509">
        <v>382</v>
      </c>
      <c r="M49" s="512"/>
    </row>
    <row r="50" spans="1:13" ht="12.75">
      <c r="A50" s="542">
        <v>2</v>
      </c>
      <c r="B50" s="543">
        <v>0.1</v>
      </c>
      <c r="C50" s="513">
        <f t="shared" si="0"/>
        <v>0.254</v>
      </c>
      <c r="D50" s="511">
        <v>1000</v>
      </c>
      <c r="E50" s="511">
        <v>507</v>
      </c>
      <c r="F50" s="509">
        <v>1380</v>
      </c>
      <c r="G50" s="545">
        <f>F50*100/D50</f>
        <v>138</v>
      </c>
      <c r="H50" s="511">
        <v>207</v>
      </c>
      <c r="I50" s="509">
        <v>573</v>
      </c>
      <c r="J50" s="545">
        <f>I50*100/D50</f>
        <v>57.3</v>
      </c>
      <c r="K50" s="511">
        <v>176</v>
      </c>
      <c r="L50" s="509">
        <v>490</v>
      </c>
      <c r="M50" s="546">
        <f>L50*100/D50</f>
        <v>49</v>
      </c>
    </row>
    <row r="51" spans="1:13" ht="12.75">
      <c r="A51" s="542">
        <v>7</v>
      </c>
      <c r="B51" s="543">
        <v>0.2</v>
      </c>
      <c r="C51" s="513">
        <f t="shared" si="0"/>
        <v>0.508</v>
      </c>
      <c r="D51" s="511">
        <v>1500</v>
      </c>
      <c r="E51" s="511">
        <v>714</v>
      </c>
      <c r="F51" s="509">
        <v>1936</v>
      </c>
      <c r="G51" s="545">
        <f>F51*100/D51</f>
        <v>129.06666666666666</v>
      </c>
      <c r="H51" s="511">
        <v>482</v>
      </c>
      <c r="I51" s="509">
        <v>1312</v>
      </c>
      <c r="J51" s="545">
        <f>I51*100/D51</f>
        <v>87.46666666666667</v>
      </c>
      <c r="K51" s="511">
        <v>322</v>
      </c>
      <c r="L51" s="509">
        <v>882</v>
      </c>
      <c r="M51" s="546">
        <f>L51*100/D51</f>
        <v>58.8</v>
      </c>
    </row>
    <row r="52" spans="1:13" ht="12.75">
      <c r="A52" s="542">
        <f>A51+2</f>
        <v>9</v>
      </c>
      <c r="B52" s="543">
        <v>0.3</v>
      </c>
      <c r="C52" s="513">
        <f t="shared" si="0"/>
        <v>0.762</v>
      </c>
      <c r="D52" s="511"/>
      <c r="E52" s="511">
        <v>858</v>
      </c>
      <c r="F52" s="509">
        <v>2323</v>
      </c>
      <c r="G52" s="545"/>
      <c r="H52" s="511">
        <v>608</v>
      </c>
      <c r="I52" s="509">
        <v>1651</v>
      </c>
      <c r="J52" s="545"/>
      <c r="K52" s="511">
        <v>412</v>
      </c>
      <c r="L52" s="509">
        <v>1124</v>
      </c>
      <c r="M52" s="546"/>
    </row>
    <row r="53" spans="1:13" ht="12.75">
      <c r="A53" s="542">
        <f>A52+2</f>
        <v>11</v>
      </c>
      <c r="B53" s="543">
        <v>0.4</v>
      </c>
      <c r="C53" s="513">
        <f t="shared" si="0"/>
        <v>1.016</v>
      </c>
      <c r="D53" s="511"/>
      <c r="E53" s="511">
        <v>953</v>
      </c>
      <c r="F53" s="509">
        <v>2578</v>
      </c>
      <c r="G53" s="545"/>
      <c r="H53" s="511">
        <v>723</v>
      </c>
      <c r="I53" s="509">
        <v>1960</v>
      </c>
      <c r="J53" s="545"/>
      <c r="K53" s="511">
        <v>476</v>
      </c>
      <c r="L53" s="509">
        <v>1296</v>
      </c>
      <c r="M53" s="546"/>
    </row>
    <row r="54" spans="1:13" ht="13.5" thickBot="1">
      <c r="A54" s="547">
        <f>A53+2</f>
        <v>13</v>
      </c>
      <c r="B54" s="548">
        <v>0.5</v>
      </c>
      <c r="C54" s="549">
        <f t="shared" si="0"/>
        <v>1.27</v>
      </c>
      <c r="D54" s="550"/>
      <c r="E54" s="550">
        <v>1049</v>
      </c>
      <c r="F54" s="551">
        <v>2836</v>
      </c>
      <c r="G54" s="552"/>
      <c r="H54" s="550">
        <v>842</v>
      </c>
      <c r="I54" s="551">
        <v>2280</v>
      </c>
      <c r="J54" s="552"/>
      <c r="K54" s="550">
        <v>487</v>
      </c>
      <c r="L54" s="551">
        <v>1326</v>
      </c>
      <c r="M54" s="553"/>
    </row>
    <row r="55" spans="1:13" ht="12.75">
      <c r="A55" s="175"/>
      <c r="B55" s="161"/>
      <c r="C55" s="162"/>
      <c r="D55" s="163"/>
      <c r="E55" s="163"/>
      <c r="F55" s="163"/>
      <c r="G55" s="163"/>
      <c r="H55" s="163"/>
      <c r="I55" s="163"/>
      <c r="J55" s="163"/>
      <c r="K55" s="163"/>
      <c r="L55" s="163"/>
      <c r="M55" s="163"/>
    </row>
    <row r="56" spans="1:13" ht="13.5" thickBot="1">
      <c r="A56" s="118"/>
      <c r="B56" s="119"/>
      <c r="C56" s="120"/>
      <c r="D56" s="113"/>
      <c r="E56" s="113"/>
      <c r="F56" s="113"/>
      <c r="G56" s="113"/>
      <c r="H56" s="113"/>
      <c r="I56" s="113"/>
      <c r="J56" s="113"/>
      <c r="K56" s="113"/>
      <c r="L56" s="113"/>
      <c r="M56" s="121"/>
    </row>
    <row r="57" spans="1:13" ht="15.75" thickBot="1">
      <c r="A57" s="666" t="s">
        <v>165</v>
      </c>
      <c r="B57" s="667"/>
      <c r="C57" s="667"/>
      <c r="D57" s="667"/>
      <c r="E57" s="667"/>
      <c r="F57" s="667"/>
      <c r="G57" s="667"/>
      <c r="H57" s="667"/>
      <c r="I57" s="667"/>
      <c r="J57" s="667"/>
      <c r="K57" s="667"/>
      <c r="L57" s="667"/>
      <c r="M57" s="668"/>
    </row>
    <row r="58" spans="1:13" ht="16.5" customHeight="1">
      <c r="A58" s="122"/>
      <c r="B58" s="83"/>
      <c r="C58" s="83"/>
      <c r="D58" s="83"/>
      <c r="E58" s="679" t="s">
        <v>126</v>
      </c>
      <c r="F58" s="679"/>
      <c r="G58" s="679"/>
      <c r="H58" s="679"/>
      <c r="I58" s="679"/>
      <c r="J58" s="83"/>
      <c r="K58" s="83"/>
      <c r="L58" s="83"/>
      <c r="M58" s="87"/>
    </row>
    <row r="59" spans="1:13" ht="12.75">
      <c r="A59" s="122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7"/>
    </row>
    <row r="60" spans="1:13" ht="12.75">
      <c r="A60" s="122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7"/>
    </row>
    <row r="61" spans="1:13" ht="12.75" customHeight="1">
      <c r="A61" s="122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7"/>
    </row>
    <row r="62" spans="1:13" ht="12.75">
      <c r="A62" s="12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7"/>
    </row>
    <row r="63" spans="1:13" ht="12.75">
      <c r="A63" s="122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7"/>
    </row>
    <row r="64" spans="1:13" ht="12.75">
      <c r="A64" s="122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7"/>
    </row>
    <row r="65" spans="1:13" ht="12.75">
      <c r="A65" s="12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7"/>
    </row>
    <row r="66" spans="1:13" ht="12.75">
      <c r="A66" s="122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7"/>
    </row>
    <row r="67" spans="1:13" ht="12.75">
      <c r="A67" s="122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7"/>
    </row>
    <row r="68" spans="1:13" ht="12.75">
      <c r="A68" s="122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7"/>
    </row>
    <row r="69" spans="1:15" ht="12.75">
      <c r="A69" s="122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7"/>
      <c r="O69" s="15"/>
    </row>
    <row r="70" spans="1:18" ht="12.75">
      <c r="A70" s="122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7"/>
      <c r="O70" s="32">
        <v>0</v>
      </c>
      <c r="P70" s="33">
        <v>0</v>
      </c>
      <c r="Q70" s="33">
        <f>P70</f>
        <v>0</v>
      </c>
      <c r="R70" s="34">
        <f>Q70</f>
        <v>0</v>
      </c>
    </row>
    <row r="71" spans="1:18" ht="12.75">
      <c r="A71" s="122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7"/>
      <c r="O71" s="35">
        <f aca="true" t="shared" si="1" ref="O71:O78">B47</f>
        <v>0.025</v>
      </c>
      <c r="P71" s="9">
        <f aca="true" t="shared" si="2" ref="P71:P77">F47</f>
        <v>501</v>
      </c>
      <c r="Q71" s="9">
        <f aca="true" t="shared" si="3" ref="Q71:Q78">I47</f>
        <v>49</v>
      </c>
      <c r="R71" s="36">
        <f aca="true" t="shared" si="4" ref="R71:R78">L47</f>
        <v>89</v>
      </c>
    </row>
    <row r="72" spans="1:18" ht="12.75">
      <c r="A72" s="122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7"/>
      <c r="O72" s="35">
        <f>B48</f>
        <v>0.05</v>
      </c>
      <c r="P72" s="9">
        <f t="shared" si="2"/>
        <v>837</v>
      </c>
      <c r="Q72" s="9">
        <f t="shared" si="3"/>
        <v>151</v>
      </c>
      <c r="R72" s="36">
        <f t="shared" si="4"/>
        <v>245</v>
      </c>
    </row>
    <row r="73" spans="1:18" ht="12.75">
      <c r="A73" s="122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7"/>
      <c r="O73" s="35">
        <f t="shared" si="1"/>
        <v>0.075</v>
      </c>
      <c r="P73" s="9">
        <f t="shared" si="2"/>
        <v>1154</v>
      </c>
      <c r="Q73" s="9">
        <f t="shared" si="3"/>
        <v>337</v>
      </c>
      <c r="R73" s="36">
        <f t="shared" si="4"/>
        <v>382</v>
      </c>
    </row>
    <row r="74" spans="1:18" ht="12.75">
      <c r="A74" s="122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7"/>
      <c r="O74" s="35">
        <f t="shared" si="1"/>
        <v>0.1</v>
      </c>
      <c r="P74" s="9">
        <f t="shared" si="2"/>
        <v>1380</v>
      </c>
      <c r="Q74" s="9">
        <f t="shared" si="3"/>
        <v>573</v>
      </c>
      <c r="R74" s="36">
        <f t="shared" si="4"/>
        <v>490</v>
      </c>
    </row>
    <row r="75" spans="1:18" ht="12.75">
      <c r="A75" s="122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7"/>
      <c r="O75" s="35">
        <f t="shared" si="1"/>
        <v>0.2</v>
      </c>
      <c r="P75" s="9">
        <f t="shared" si="2"/>
        <v>1936</v>
      </c>
      <c r="Q75" s="9">
        <f t="shared" si="3"/>
        <v>1312</v>
      </c>
      <c r="R75" s="36">
        <f t="shared" si="4"/>
        <v>882</v>
      </c>
    </row>
    <row r="76" spans="1:18" ht="12.75">
      <c r="A76" s="122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7"/>
      <c r="O76" s="35">
        <f t="shared" si="1"/>
        <v>0.3</v>
      </c>
      <c r="P76" s="9">
        <f t="shared" si="2"/>
        <v>2323</v>
      </c>
      <c r="Q76" s="9">
        <f t="shared" si="3"/>
        <v>1651</v>
      </c>
      <c r="R76" s="36">
        <f t="shared" si="4"/>
        <v>1124</v>
      </c>
    </row>
    <row r="77" spans="1:18" ht="12.75">
      <c r="A77" s="122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7"/>
      <c r="O77" s="35">
        <f t="shared" si="1"/>
        <v>0.4</v>
      </c>
      <c r="P77" s="9">
        <f t="shared" si="2"/>
        <v>2578</v>
      </c>
      <c r="Q77" s="9">
        <f t="shared" si="3"/>
        <v>1960</v>
      </c>
      <c r="R77" s="36">
        <f t="shared" si="4"/>
        <v>1296</v>
      </c>
    </row>
    <row r="78" spans="1:18" ht="12.75">
      <c r="A78" s="122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7"/>
      <c r="O78" s="37">
        <f t="shared" si="1"/>
        <v>0.5</v>
      </c>
      <c r="P78" s="38"/>
      <c r="Q78" s="38">
        <f t="shared" si="3"/>
        <v>2280</v>
      </c>
      <c r="R78" s="39">
        <f t="shared" si="4"/>
        <v>1326</v>
      </c>
    </row>
    <row r="79" spans="1:13" ht="12.75">
      <c r="A79" s="122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7"/>
    </row>
    <row r="80" spans="1:13" ht="12.75">
      <c r="A80" s="122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7"/>
    </row>
    <row r="81" spans="1:13" ht="12.75">
      <c r="A81" s="122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7"/>
    </row>
    <row r="82" spans="1:13" ht="12.75">
      <c r="A82" s="122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7"/>
    </row>
    <row r="83" spans="1:13" ht="12.75">
      <c r="A83" s="122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7"/>
    </row>
    <row r="84" spans="1:13" ht="12.75">
      <c r="A84" s="122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7"/>
    </row>
    <row r="85" spans="1:13" ht="12.75">
      <c r="A85" s="122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7"/>
    </row>
    <row r="86" spans="1:13" ht="12.75">
      <c r="A86" s="122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7"/>
    </row>
    <row r="87" spans="1:13" ht="12.75">
      <c r="A87" s="122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7"/>
    </row>
    <row r="88" spans="1:13" ht="12.75">
      <c r="A88" s="122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7"/>
    </row>
    <row r="89" spans="1:13" ht="12.75">
      <c r="A89" s="122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7"/>
    </row>
    <row r="90" spans="1:13" ht="12.75">
      <c r="A90" s="122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7"/>
    </row>
    <row r="91" spans="1:17" ht="12.75">
      <c r="A91" s="122"/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7"/>
      <c r="O91" s="40"/>
      <c r="P91" s="33"/>
      <c r="Q91" s="34"/>
    </row>
    <row r="92" spans="1:17" ht="10.5" customHeight="1">
      <c r="A92" s="122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7"/>
      <c r="O92" s="41" t="s">
        <v>134</v>
      </c>
      <c r="P92" s="9" t="s">
        <v>136</v>
      </c>
      <c r="Q92" s="36" t="s">
        <v>135</v>
      </c>
    </row>
    <row r="93" spans="1:17" ht="12" customHeight="1">
      <c r="A93" s="122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7"/>
      <c r="O93" s="41"/>
      <c r="P93" s="42">
        <f>P94-2</f>
        <v>47</v>
      </c>
      <c r="Q93" s="43">
        <v>1.2</v>
      </c>
    </row>
    <row r="94" spans="1:17" ht="12" customHeight="1">
      <c r="A94" s="122"/>
      <c r="B94" s="83"/>
      <c r="C94" s="83"/>
      <c r="D94" s="68"/>
      <c r="E94" s="68"/>
      <c r="F94" s="68"/>
      <c r="G94" s="68"/>
      <c r="H94" s="68"/>
      <c r="I94" s="68"/>
      <c r="J94" s="68"/>
      <c r="K94" s="68"/>
      <c r="L94" s="68"/>
      <c r="M94" s="87"/>
      <c r="O94" s="41" t="s">
        <v>131</v>
      </c>
      <c r="P94" s="44">
        <f>MIN(M50:M51)</f>
        <v>49</v>
      </c>
      <c r="Q94" s="167">
        <f>K31</f>
        <v>1.5399136568062848</v>
      </c>
    </row>
    <row r="95" spans="1:17" ht="12.75">
      <c r="A95" s="122"/>
      <c r="B95" s="83"/>
      <c r="C95" s="83"/>
      <c r="D95" s="68"/>
      <c r="E95" s="68"/>
      <c r="F95" s="68"/>
      <c r="G95" s="68"/>
      <c r="H95" s="68"/>
      <c r="I95" s="68"/>
      <c r="J95" s="68"/>
      <c r="K95" s="68"/>
      <c r="L95" s="68"/>
      <c r="M95" s="87"/>
      <c r="O95" s="41" t="s">
        <v>132</v>
      </c>
      <c r="P95" s="44">
        <f>MIN(J50:J51)</f>
        <v>57.3</v>
      </c>
      <c r="Q95" s="167">
        <f>H31</f>
        <v>1.610748889050776</v>
      </c>
    </row>
    <row r="96" spans="1:17" ht="12.75">
      <c r="A96" s="122"/>
      <c r="B96" s="83"/>
      <c r="C96" s="83"/>
      <c r="D96" s="68"/>
      <c r="E96" s="68"/>
      <c r="F96" s="68"/>
      <c r="G96" s="68"/>
      <c r="H96" s="68"/>
      <c r="I96" s="68"/>
      <c r="J96" s="68"/>
      <c r="K96" s="68"/>
      <c r="L96" s="68"/>
      <c r="M96" s="87"/>
      <c r="O96" s="41" t="s">
        <v>133</v>
      </c>
      <c r="P96" s="44">
        <f>MIN(G50:G51)</f>
        <v>129.06666666666666</v>
      </c>
      <c r="Q96" s="167">
        <f>E31</f>
        <v>1.6943782122609023</v>
      </c>
    </row>
    <row r="97" spans="1:17" ht="12.75">
      <c r="A97" s="122"/>
      <c r="B97" s="83"/>
      <c r="C97" s="83"/>
      <c r="D97" s="68"/>
      <c r="E97" s="68"/>
      <c r="F97" s="68"/>
      <c r="G97" s="68"/>
      <c r="H97" s="68"/>
      <c r="I97" s="68"/>
      <c r="J97" s="68"/>
      <c r="K97" s="557" t="s">
        <v>139</v>
      </c>
      <c r="L97" s="557"/>
      <c r="M97" s="87"/>
      <c r="O97" s="46"/>
      <c r="P97" s="47">
        <f>P96+2</f>
        <v>131.06666666666666</v>
      </c>
      <c r="Q97" s="48">
        <v>2.2</v>
      </c>
    </row>
    <row r="98" spans="1:16" ht="12.75">
      <c r="A98" s="122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7"/>
      <c r="O98" s="10" t="s">
        <v>202</v>
      </c>
      <c r="P98" s="168">
        <f>J10</f>
        <v>1.705</v>
      </c>
    </row>
    <row r="99" spans="1:13" ht="12.75">
      <c r="A99" s="122"/>
      <c r="B99" s="83"/>
      <c r="C99" s="83"/>
      <c r="D99" s="83"/>
      <c r="E99" s="83"/>
      <c r="F99" s="83"/>
      <c r="G99" s="83"/>
      <c r="H99" s="83"/>
      <c r="I99" s="83"/>
      <c r="J99" s="83"/>
      <c r="K99" s="558" t="s">
        <v>141</v>
      </c>
      <c r="L99" s="560">
        <f>(MIN(G50:G54))/100</f>
        <v>1.2906666666666666</v>
      </c>
      <c r="M99" s="561" t="s">
        <v>23</v>
      </c>
    </row>
    <row r="100" spans="1:16" ht="12.75">
      <c r="A100" s="122"/>
      <c r="B100" s="83"/>
      <c r="C100" s="83"/>
      <c r="D100" s="83"/>
      <c r="E100" s="83"/>
      <c r="F100" s="83"/>
      <c r="G100" s="83"/>
      <c r="H100" s="83"/>
      <c r="I100" s="83"/>
      <c r="J100" s="83"/>
      <c r="K100" s="9"/>
      <c r="L100" s="9"/>
      <c r="M100" s="76"/>
      <c r="O100" s="40" t="s">
        <v>137</v>
      </c>
      <c r="P100" s="34"/>
    </row>
    <row r="101" spans="1:16" ht="12.75">
      <c r="A101" s="122"/>
      <c r="B101" s="83"/>
      <c r="C101" s="83"/>
      <c r="D101" s="83"/>
      <c r="E101" s="83"/>
      <c r="F101" s="83"/>
      <c r="G101" s="83"/>
      <c r="H101" s="83"/>
      <c r="I101" s="83"/>
      <c r="J101" s="83"/>
      <c r="K101" s="9"/>
      <c r="L101" s="9"/>
      <c r="M101" s="76"/>
      <c r="O101" s="41"/>
      <c r="P101" s="36"/>
    </row>
    <row r="102" spans="1:16" ht="12.75">
      <c r="A102" s="122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7"/>
      <c r="O102" s="49">
        <f>P93-1</f>
        <v>46</v>
      </c>
      <c r="P102" s="45">
        <f>J10/1000</f>
        <v>0.0017050000000000001</v>
      </c>
    </row>
    <row r="103" spans="1:16" ht="12.75">
      <c r="A103" s="122"/>
      <c r="B103" s="83"/>
      <c r="C103" s="83"/>
      <c r="D103" s="83"/>
      <c r="E103" s="83"/>
      <c r="F103" s="83"/>
      <c r="G103" s="83"/>
      <c r="H103" s="83"/>
      <c r="I103" s="83"/>
      <c r="J103" s="83"/>
      <c r="K103" s="557" t="s">
        <v>140</v>
      </c>
      <c r="L103" s="83"/>
      <c r="M103" s="87"/>
      <c r="O103" s="49">
        <f>P97+1</f>
        <v>132.06666666666666</v>
      </c>
      <c r="P103" s="45">
        <f>P102</f>
        <v>0.0017050000000000001</v>
      </c>
    </row>
    <row r="104" spans="1:16" ht="12.75">
      <c r="A104" s="122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7"/>
      <c r="O104" s="41"/>
      <c r="P104" s="36"/>
    </row>
    <row r="105" spans="1:16" ht="12.75">
      <c r="A105" s="122"/>
      <c r="B105" s="83"/>
      <c r="C105" s="83"/>
      <c r="D105" s="83"/>
      <c r="E105" s="83"/>
      <c r="F105" s="83"/>
      <c r="G105" s="83"/>
      <c r="H105" s="83"/>
      <c r="I105" s="83"/>
      <c r="J105" s="83"/>
      <c r="K105" s="558" t="s">
        <v>141</v>
      </c>
      <c r="L105" s="560">
        <f>L99*0.95</f>
        <v>1.2261333333333333</v>
      </c>
      <c r="M105" s="561" t="s">
        <v>23</v>
      </c>
      <c r="O105" s="41" t="s">
        <v>138</v>
      </c>
      <c r="P105" s="36"/>
    </row>
    <row r="106" spans="1:16" ht="12.75">
      <c r="A106" s="122"/>
      <c r="B106" s="83"/>
      <c r="C106" s="83"/>
      <c r="D106" s="83"/>
      <c r="E106" s="83"/>
      <c r="F106" s="83"/>
      <c r="G106" s="83"/>
      <c r="H106" s="83"/>
      <c r="I106" s="83"/>
      <c r="J106" s="83"/>
      <c r="K106" s="9"/>
      <c r="L106" s="9"/>
      <c r="M106" s="76"/>
      <c r="O106" s="41"/>
      <c r="P106" s="36"/>
    </row>
    <row r="107" spans="1:16" ht="12.75">
      <c r="A107" s="122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7"/>
      <c r="O107" s="49">
        <f>O102</f>
        <v>46</v>
      </c>
      <c r="P107" s="45">
        <f>0.95*P102</f>
        <v>0.00161975</v>
      </c>
    </row>
    <row r="108" spans="1:16" ht="12.75">
      <c r="A108" s="122"/>
      <c r="B108" s="83"/>
      <c r="C108" s="83"/>
      <c r="D108" s="83"/>
      <c r="E108" s="83"/>
      <c r="F108" s="83"/>
      <c r="G108" s="83"/>
      <c r="H108" s="83"/>
      <c r="I108" s="83"/>
      <c r="J108" s="83"/>
      <c r="K108" s="559" t="s">
        <v>168</v>
      </c>
      <c r="L108" s="562">
        <f>(G40+J40+M40)/3</f>
        <v>0.7256414519755481</v>
      </c>
      <c r="M108" s="87"/>
      <c r="O108" s="50">
        <f>O103</f>
        <v>132.06666666666666</v>
      </c>
      <c r="P108" s="51">
        <f>0.95*P103</f>
        <v>0.00161975</v>
      </c>
    </row>
    <row r="109" spans="1:13" ht="12.75">
      <c r="A109" s="122"/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7"/>
    </row>
    <row r="110" spans="1:13" ht="12.75">
      <c r="A110" s="122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7"/>
    </row>
    <row r="111" spans="1:13" ht="13.5" thickBot="1">
      <c r="A111" s="128"/>
      <c r="B111" s="123"/>
      <c r="C111" s="123"/>
      <c r="D111" s="123"/>
      <c r="E111" s="554" t="s">
        <v>201</v>
      </c>
      <c r="F111" s="555">
        <v>1.2</v>
      </c>
      <c r="G111" s="123"/>
      <c r="H111" s="123"/>
      <c r="I111" s="123"/>
      <c r="J111" s="123"/>
      <c r="K111" s="123"/>
      <c r="L111" s="123"/>
      <c r="M111" s="124"/>
    </row>
    <row r="112" spans="1:13" ht="13.5" thickBot="1">
      <c r="A112" s="637" t="s">
        <v>237</v>
      </c>
      <c r="B112" s="638"/>
      <c r="C112" s="638"/>
      <c r="D112" s="638"/>
      <c r="E112" s="638"/>
      <c r="F112" s="638"/>
      <c r="G112" s="638"/>
      <c r="H112" s="638"/>
      <c r="I112" s="638"/>
      <c r="J112" s="638"/>
      <c r="K112" s="638"/>
      <c r="L112" s="638"/>
      <c r="M112" s="639"/>
    </row>
    <row r="113" spans="1:13" ht="10.5" customHeight="1" thickBot="1">
      <c r="A113" s="69"/>
      <c r="B113" s="6"/>
      <c r="C113" s="6"/>
      <c r="D113" s="9"/>
      <c r="E113" s="9"/>
      <c r="F113" s="9"/>
      <c r="G113" s="9"/>
      <c r="H113" s="9"/>
      <c r="I113" s="9"/>
      <c r="J113" s="9"/>
      <c r="K113" s="9"/>
      <c r="L113" s="9"/>
      <c r="M113" s="76"/>
    </row>
    <row r="114" spans="1:13" ht="10.5" customHeight="1" thickTop="1">
      <c r="A114" s="723" t="s">
        <v>2</v>
      </c>
      <c r="B114" s="724"/>
      <c r="C114" s="725"/>
      <c r="D114" s="177" t="s">
        <v>3</v>
      </c>
      <c r="E114" s="9"/>
      <c r="F114" s="9"/>
      <c r="G114" s="9"/>
      <c r="H114" s="9"/>
      <c r="I114" s="9"/>
      <c r="J114" s="9"/>
      <c r="K114" s="9"/>
      <c r="L114" s="9"/>
      <c r="M114" s="76"/>
    </row>
    <row r="115" spans="1:13" ht="12.75">
      <c r="A115" s="726" t="s">
        <v>1</v>
      </c>
      <c r="B115" s="727"/>
      <c r="C115" s="728"/>
      <c r="D115" s="178" t="s">
        <v>207</v>
      </c>
      <c r="E115" s="12"/>
      <c r="F115" s="9"/>
      <c r="G115" s="9"/>
      <c r="H115" s="9"/>
      <c r="I115" s="9"/>
      <c r="J115" s="9"/>
      <c r="K115" s="9"/>
      <c r="L115" s="9"/>
      <c r="M115" s="76"/>
    </row>
    <row r="116" spans="1:13" ht="13.5" thickBot="1">
      <c r="A116" s="729" t="s">
        <v>4</v>
      </c>
      <c r="B116" s="730"/>
      <c r="C116" s="731"/>
      <c r="D116" s="456" t="s">
        <v>66</v>
      </c>
      <c r="E116" s="6"/>
      <c r="F116" s="12"/>
      <c r="G116" s="9"/>
      <c r="H116" s="9"/>
      <c r="I116" s="9"/>
      <c r="J116" s="9"/>
      <c r="K116" s="9"/>
      <c r="L116" s="9"/>
      <c r="M116" s="76"/>
    </row>
    <row r="117" spans="1:13" ht="13.5" thickTop="1">
      <c r="A117" s="82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76"/>
    </row>
    <row r="118" spans="1:13" ht="13.5" thickBot="1">
      <c r="A118" s="82"/>
      <c r="B118" s="9"/>
      <c r="C118" s="9"/>
      <c r="D118" s="716" t="s">
        <v>78</v>
      </c>
      <c r="E118" s="716"/>
      <c r="F118" s="716"/>
      <c r="G118" s="716"/>
      <c r="H118" s="716"/>
      <c r="I118" s="716"/>
      <c r="J118" s="716"/>
      <c r="K118" s="9"/>
      <c r="L118" s="9"/>
      <c r="M118" s="76"/>
    </row>
    <row r="119" spans="1:13" ht="14.25" thickBot="1">
      <c r="A119" s="82"/>
      <c r="B119" s="9"/>
      <c r="C119" s="9"/>
      <c r="D119" s="307" t="s">
        <v>79</v>
      </c>
      <c r="E119" s="307" t="s">
        <v>80</v>
      </c>
      <c r="F119" s="307" t="s">
        <v>81</v>
      </c>
      <c r="G119" s="717" t="s">
        <v>115</v>
      </c>
      <c r="H119" s="718"/>
      <c r="I119" s="457" t="s">
        <v>100</v>
      </c>
      <c r="J119" s="308" t="s">
        <v>99</v>
      </c>
      <c r="K119" s="9"/>
      <c r="L119" s="9"/>
      <c r="M119" s="76"/>
    </row>
    <row r="120" spans="1:13" ht="14.25" thickBot="1">
      <c r="A120" s="82"/>
      <c r="B120" s="9"/>
      <c r="C120" s="9"/>
      <c r="D120" s="263">
        <v>2</v>
      </c>
      <c r="E120" s="329">
        <f>limites!F85</f>
        <v>22.378829627297552</v>
      </c>
      <c r="F120" s="329">
        <f>limites!F86</f>
        <v>6.696889282028571</v>
      </c>
      <c r="G120" s="681" t="s">
        <v>212</v>
      </c>
      <c r="H120" s="682"/>
      <c r="I120" s="563">
        <f>compactacion!F99</f>
        <v>17.4</v>
      </c>
      <c r="J120" s="564">
        <f>compactacion!F98</f>
        <v>1.723</v>
      </c>
      <c r="K120" s="9"/>
      <c r="L120" s="9"/>
      <c r="M120" s="76"/>
    </row>
    <row r="121" spans="1:13" ht="12.75">
      <c r="A121" s="82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76"/>
    </row>
    <row r="122" spans="1:13" ht="13.5" thickBot="1">
      <c r="A122" s="82"/>
      <c r="B122" s="9"/>
      <c r="C122" s="9"/>
      <c r="D122" s="722" t="s">
        <v>101</v>
      </c>
      <c r="E122" s="722"/>
      <c r="F122" s="722"/>
      <c r="G122" s="722"/>
      <c r="H122" s="722"/>
      <c r="I122" s="722"/>
      <c r="J122" s="722"/>
      <c r="K122" s="9"/>
      <c r="L122" s="9"/>
      <c r="M122" s="76"/>
    </row>
    <row r="123" spans="1:13" ht="13.5" thickTop="1">
      <c r="A123" s="463" t="s">
        <v>142</v>
      </c>
      <c r="B123" s="464"/>
      <c r="C123" s="465"/>
      <c r="D123" s="466"/>
      <c r="E123" s="683">
        <v>11</v>
      </c>
      <c r="F123" s="684"/>
      <c r="G123" s="686"/>
      <c r="H123" s="683">
        <v>6</v>
      </c>
      <c r="I123" s="684"/>
      <c r="J123" s="686"/>
      <c r="K123" s="683">
        <v>15</v>
      </c>
      <c r="L123" s="684"/>
      <c r="M123" s="685"/>
    </row>
    <row r="124" spans="1:13" ht="12.75">
      <c r="A124" s="467" t="s">
        <v>143</v>
      </c>
      <c r="B124" s="468"/>
      <c r="C124" s="469"/>
      <c r="D124" s="470"/>
      <c r="E124" s="687">
        <v>5</v>
      </c>
      <c r="F124" s="688"/>
      <c r="G124" s="689"/>
      <c r="H124" s="687">
        <v>5</v>
      </c>
      <c r="I124" s="688"/>
      <c r="J124" s="689"/>
      <c r="K124" s="687">
        <v>5</v>
      </c>
      <c r="L124" s="688"/>
      <c r="M124" s="719"/>
    </row>
    <row r="125" spans="1:13" ht="12.75">
      <c r="A125" s="471" t="s">
        <v>144</v>
      </c>
      <c r="B125" s="472"/>
      <c r="C125" s="473"/>
      <c r="D125" s="474"/>
      <c r="E125" s="710">
        <v>56</v>
      </c>
      <c r="F125" s="711"/>
      <c r="G125" s="712"/>
      <c r="H125" s="710">
        <v>25</v>
      </c>
      <c r="I125" s="711"/>
      <c r="J125" s="712"/>
      <c r="K125" s="710">
        <v>12</v>
      </c>
      <c r="L125" s="711"/>
      <c r="M125" s="713"/>
    </row>
    <row r="126" spans="1:13" ht="12.75">
      <c r="A126" s="475" t="s">
        <v>145</v>
      </c>
      <c r="B126" s="476"/>
      <c r="C126" s="477"/>
      <c r="D126" s="478"/>
      <c r="E126" s="714" t="s">
        <v>83</v>
      </c>
      <c r="F126" s="715"/>
      <c r="G126" s="480" t="s">
        <v>116</v>
      </c>
      <c r="H126" s="714" t="s">
        <v>83</v>
      </c>
      <c r="I126" s="715"/>
      <c r="J126" s="480" t="s">
        <v>116</v>
      </c>
      <c r="K126" s="714" t="s">
        <v>83</v>
      </c>
      <c r="L126" s="715"/>
      <c r="M126" s="481" t="s">
        <v>116</v>
      </c>
    </row>
    <row r="127" spans="1:13" ht="12.75">
      <c r="A127" s="482" t="s">
        <v>146</v>
      </c>
      <c r="B127" s="483"/>
      <c r="C127" s="484"/>
      <c r="D127" s="485"/>
      <c r="E127" s="708">
        <v>8370</v>
      </c>
      <c r="F127" s="709"/>
      <c r="G127" s="487">
        <v>8778</v>
      </c>
      <c r="H127" s="708">
        <v>8247</v>
      </c>
      <c r="I127" s="709"/>
      <c r="J127" s="487">
        <v>8628</v>
      </c>
      <c r="K127" s="708">
        <v>8069</v>
      </c>
      <c r="L127" s="709"/>
      <c r="M127" s="488">
        <v>8236</v>
      </c>
    </row>
    <row r="128" spans="1:18" ht="12.75">
      <c r="A128" s="467" t="s">
        <v>147</v>
      </c>
      <c r="B128" s="468"/>
      <c r="C128" s="469"/>
      <c r="D128" s="470"/>
      <c r="E128" s="688">
        <v>4324</v>
      </c>
      <c r="F128" s="689"/>
      <c r="G128" s="489">
        <v>4324</v>
      </c>
      <c r="H128" s="687">
        <v>4392</v>
      </c>
      <c r="I128" s="689"/>
      <c r="J128" s="489">
        <v>4392</v>
      </c>
      <c r="K128" s="687">
        <v>4331</v>
      </c>
      <c r="L128" s="689"/>
      <c r="M128" s="490">
        <v>4331</v>
      </c>
      <c r="P128" s="10" t="s">
        <v>159</v>
      </c>
      <c r="Q128" s="10" t="s">
        <v>160</v>
      </c>
      <c r="R128" s="10" t="s">
        <v>161</v>
      </c>
    </row>
    <row r="129" spans="1:18" ht="12.75">
      <c r="A129" s="467" t="s">
        <v>153</v>
      </c>
      <c r="B129" s="468"/>
      <c r="C129" s="469"/>
      <c r="D129" s="470"/>
      <c r="E129" s="701">
        <f>E127-E128</f>
        <v>4046</v>
      </c>
      <c r="F129" s="702"/>
      <c r="G129" s="489">
        <f>G127-G128</f>
        <v>4454</v>
      </c>
      <c r="H129" s="701">
        <f>H127-H128</f>
        <v>3855</v>
      </c>
      <c r="I129" s="702"/>
      <c r="J129" s="489">
        <f>J127-J128</f>
        <v>4236</v>
      </c>
      <c r="K129" s="701">
        <f>K127-K128</f>
        <v>3738</v>
      </c>
      <c r="L129" s="702"/>
      <c r="M129" s="490">
        <f>M127-M128</f>
        <v>3905</v>
      </c>
      <c r="O129" s="10" t="s">
        <v>163</v>
      </c>
      <c r="P129" s="17">
        <v>11.52</v>
      </c>
      <c r="Q129" s="17">
        <v>11.54</v>
      </c>
      <c r="R129" s="17">
        <v>11.56</v>
      </c>
    </row>
    <row r="130" spans="1:18" ht="12.75">
      <c r="A130" s="467" t="s">
        <v>148</v>
      </c>
      <c r="B130" s="468"/>
      <c r="C130" s="469"/>
      <c r="D130" s="470"/>
      <c r="E130" s="701">
        <v>2056</v>
      </c>
      <c r="F130" s="689"/>
      <c r="G130" s="491">
        <v>2056</v>
      </c>
      <c r="H130" s="703">
        <v>2069</v>
      </c>
      <c r="I130" s="689"/>
      <c r="J130" s="491">
        <v>2069</v>
      </c>
      <c r="K130" s="703">
        <v>2121</v>
      </c>
      <c r="L130" s="689"/>
      <c r="M130" s="492">
        <v>2121</v>
      </c>
      <c r="O130" s="10" t="s">
        <v>162</v>
      </c>
      <c r="P130" s="17">
        <v>15.15</v>
      </c>
      <c r="Q130" s="17">
        <v>15.2</v>
      </c>
      <c r="R130" s="17">
        <v>15.2</v>
      </c>
    </row>
    <row r="131" spans="1:18" ht="13.5">
      <c r="A131" s="471" t="s">
        <v>166</v>
      </c>
      <c r="B131" s="472"/>
      <c r="C131" s="473"/>
      <c r="D131" s="474"/>
      <c r="E131" s="704">
        <f>E129/E130</f>
        <v>1.9678988326848248</v>
      </c>
      <c r="F131" s="705"/>
      <c r="G131" s="493">
        <f>G129/G130</f>
        <v>2.1663424124513617</v>
      </c>
      <c r="H131" s="704">
        <f>H129/H130</f>
        <v>1.8632189463508941</v>
      </c>
      <c r="I131" s="705"/>
      <c r="J131" s="493">
        <f>J129/J130</f>
        <v>2.0473658772353795</v>
      </c>
      <c r="K131" s="704">
        <f>K129/K130</f>
        <v>1.7623762376237624</v>
      </c>
      <c r="L131" s="705"/>
      <c r="M131" s="494">
        <f>M129/M130</f>
        <v>1.8411126826968411</v>
      </c>
      <c r="O131" s="10" t="s">
        <v>164</v>
      </c>
      <c r="P131" s="19">
        <f>(PI()*P130^2/4)*P129</f>
        <v>2076.6706555206624</v>
      </c>
      <c r="Q131" s="19">
        <f>(PI()*Q130^2/4)*Q129</f>
        <v>2094.029839887338</v>
      </c>
      <c r="R131" s="19">
        <f>(PI()*R130^2/4)*R129</f>
        <v>2097.659007720765</v>
      </c>
    </row>
    <row r="132" spans="1:18" ht="12.75">
      <c r="A132" s="475" t="s">
        <v>149</v>
      </c>
      <c r="B132" s="476"/>
      <c r="C132" s="477"/>
      <c r="D132" s="478"/>
      <c r="E132" s="479" t="s">
        <v>82</v>
      </c>
      <c r="F132" s="495" t="s">
        <v>117</v>
      </c>
      <c r="G132" s="495" t="s">
        <v>129</v>
      </c>
      <c r="H132" s="495" t="s">
        <v>82</v>
      </c>
      <c r="I132" s="495" t="s">
        <v>117</v>
      </c>
      <c r="J132" s="495" t="s">
        <v>129</v>
      </c>
      <c r="K132" s="495" t="s">
        <v>82</v>
      </c>
      <c r="L132" s="495" t="s">
        <v>117</v>
      </c>
      <c r="M132" s="496" t="s">
        <v>129</v>
      </c>
      <c r="Q132" s="26"/>
      <c r="R132" s="26"/>
    </row>
    <row r="133" spans="1:18" ht="12.75">
      <c r="A133" s="482" t="s">
        <v>154</v>
      </c>
      <c r="B133" s="483"/>
      <c r="C133" s="484"/>
      <c r="D133" s="485"/>
      <c r="E133" s="486" t="s">
        <v>173</v>
      </c>
      <c r="F133" s="487"/>
      <c r="G133" s="487" t="s">
        <v>180</v>
      </c>
      <c r="H133" s="487" t="s">
        <v>199</v>
      </c>
      <c r="I133" s="487"/>
      <c r="J133" s="487" t="s">
        <v>200</v>
      </c>
      <c r="K133" s="487" t="s">
        <v>174</v>
      </c>
      <c r="L133" s="487"/>
      <c r="M133" s="488" t="s">
        <v>181</v>
      </c>
      <c r="O133" s="19"/>
      <c r="Q133" s="26"/>
      <c r="R133" s="26"/>
    </row>
    <row r="134" spans="1:18" ht="12.75">
      <c r="A134" s="467" t="s">
        <v>155</v>
      </c>
      <c r="B134" s="468"/>
      <c r="C134" s="469"/>
      <c r="D134" s="470"/>
      <c r="E134" s="497">
        <v>100</v>
      </c>
      <c r="F134" s="497"/>
      <c r="G134" s="498">
        <v>141</v>
      </c>
      <c r="H134" s="498">
        <v>106.5</v>
      </c>
      <c r="I134" s="498"/>
      <c r="J134" s="498">
        <v>149.7</v>
      </c>
      <c r="K134" s="498">
        <v>116.8</v>
      </c>
      <c r="L134" s="498"/>
      <c r="M134" s="499">
        <v>152.8</v>
      </c>
      <c r="Q134" s="26"/>
      <c r="R134" s="26"/>
    </row>
    <row r="135" spans="1:18" ht="12.75">
      <c r="A135" s="467" t="s">
        <v>156</v>
      </c>
      <c r="B135" s="468"/>
      <c r="C135" s="469"/>
      <c r="D135" s="470"/>
      <c r="E135" s="497">
        <v>96.7</v>
      </c>
      <c r="F135" s="498"/>
      <c r="G135" s="498">
        <v>127.2</v>
      </c>
      <c r="H135" s="498">
        <v>102.6</v>
      </c>
      <c r="I135" s="498"/>
      <c r="J135" s="498">
        <v>133.9</v>
      </c>
      <c r="K135" s="498">
        <v>112.5</v>
      </c>
      <c r="L135" s="498"/>
      <c r="M135" s="499">
        <v>140</v>
      </c>
      <c r="Q135" s="26"/>
      <c r="R135" s="26"/>
    </row>
    <row r="136" spans="1:18" ht="12.75">
      <c r="A136" s="467" t="s">
        <v>150</v>
      </c>
      <c r="B136" s="468"/>
      <c r="C136" s="469"/>
      <c r="D136" s="470"/>
      <c r="E136" s="497">
        <f>E134-E135</f>
        <v>3.299999999999997</v>
      </c>
      <c r="F136" s="497"/>
      <c r="G136" s="498">
        <f>G134-G135</f>
        <v>13.799999999999997</v>
      </c>
      <c r="H136" s="497">
        <f>H134-H135</f>
        <v>3.9000000000000057</v>
      </c>
      <c r="I136" s="497"/>
      <c r="J136" s="497">
        <f>J134-J135</f>
        <v>15.799999999999983</v>
      </c>
      <c r="K136" s="497">
        <f>K134-K135</f>
        <v>4.299999999999997</v>
      </c>
      <c r="L136" s="497"/>
      <c r="M136" s="500">
        <f>M134-M135</f>
        <v>12.800000000000011</v>
      </c>
      <c r="Q136" s="26"/>
      <c r="R136" s="26"/>
    </row>
    <row r="137" spans="1:18" ht="12.75">
      <c r="A137" s="467" t="s">
        <v>157</v>
      </c>
      <c r="B137" s="468"/>
      <c r="C137" s="469"/>
      <c r="D137" s="470"/>
      <c r="E137" s="497">
        <v>74</v>
      </c>
      <c r="F137" s="498"/>
      <c r="G137" s="498">
        <v>74.5</v>
      </c>
      <c r="H137" s="498">
        <v>76.3</v>
      </c>
      <c r="I137" s="498"/>
      <c r="J137" s="498">
        <v>73.4</v>
      </c>
      <c r="K137" s="498">
        <v>83.6</v>
      </c>
      <c r="L137" s="498"/>
      <c r="M137" s="499">
        <v>73.2</v>
      </c>
      <c r="Q137" s="26"/>
      <c r="R137" s="26"/>
    </row>
    <row r="138" spans="1:18" ht="12.75">
      <c r="A138" s="467" t="s">
        <v>151</v>
      </c>
      <c r="B138" s="468"/>
      <c r="C138" s="469"/>
      <c r="D138" s="470"/>
      <c r="E138" s="497">
        <f>E135-E137</f>
        <v>22.700000000000003</v>
      </c>
      <c r="F138" s="497"/>
      <c r="G138" s="498">
        <f>G135-G137</f>
        <v>52.7</v>
      </c>
      <c r="H138" s="497">
        <f>H135-H137</f>
        <v>26.299999999999997</v>
      </c>
      <c r="I138" s="497"/>
      <c r="J138" s="497">
        <f>J135-J137</f>
        <v>60.5</v>
      </c>
      <c r="K138" s="497">
        <f>K135-K137</f>
        <v>28.900000000000006</v>
      </c>
      <c r="L138" s="497"/>
      <c r="M138" s="500">
        <f>M135-M137</f>
        <v>66.8</v>
      </c>
      <c r="Q138" s="26"/>
      <c r="R138" s="26"/>
    </row>
    <row r="139" spans="1:18" ht="12.75">
      <c r="A139" s="467" t="s">
        <v>158</v>
      </c>
      <c r="B139" s="468"/>
      <c r="C139" s="469"/>
      <c r="D139" s="470"/>
      <c r="E139" s="497">
        <f>(E136/E138)*100</f>
        <v>14.53744493392069</v>
      </c>
      <c r="F139" s="497"/>
      <c r="G139" s="497">
        <f>(G136/G138)*100</f>
        <v>26.185958254269444</v>
      </c>
      <c r="H139" s="497">
        <f>H136*100/H138</f>
        <v>14.828897338403065</v>
      </c>
      <c r="I139" s="497"/>
      <c r="J139" s="497">
        <f>(J136/J138)*100</f>
        <v>26.115702479338815</v>
      </c>
      <c r="K139" s="497">
        <f>K136*100/K138</f>
        <v>14.878892733564001</v>
      </c>
      <c r="L139" s="497"/>
      <c r="M139" s="500">
        <f>(M136/M138)*100</f>
        <v>19.161676646706603</v>
      </c>
      <c r="Q139" s="26"/>
      <c r="R139" s="26"/>
    </row>
    <row r="140" spans="1:18" ht="12.75">
      <c r="A140" s="467" t="s">
        <v>152</v>
      </c>
      <c r="B140" s="468"/>
      <c r="C140" s="469"/>
      <c r="D140" s="470"/>
      <c r="E140" s="706">
        <f>AVERAGE(E139:F139)</f>
        <v>14.53744493392069</v>
      </c>
      <c r="F140" s="707"/>
      <c r="G140" s="498"/>
      <c r="H140" s="706">
        <f>AVERAGE(H139:I139)</f>
        <v>14.828897338403065</v>
      </c>
      <c r="I140" s="707"/>
      <c r="J140" s="498"/>
      <c r="K140" s="706">
        <f>AVERAGE(K139:L139)</f>
        <v>14.878892733564001</v>
      </c>
      <c r="L140" s="707"/>
      <c r="M140" s="499"/>
      <c r="Q140" s="26"/>
      <c r="R140" s="26"/>
    </row>
    <row r="141" spans="1:18" ht="14.25" thickBot="1">
      <c r="A141" s="501" t="s">
        <v>167</v>
      </c>
      <c r="B141" s="502"/>
      <c r="C141" s="503"/>
      <c r="D141" s="504"/>
      <c r="E141" s="677">
        <f>(E131*100/(E140+100))</f>
        <v>1.7181270577671355</v>
      </c>
      <c r="F141" s="678"/>
      <c r="G141" s="505"/>
      <c r="H141" s="677">
        <f>(H131*100/(H140+100))</f>
        <v>1.6226045791069041</v>
      </c>
      <c r="I141" s="678"/>
      <c r="J141" s="505"/>
      <c r="K141" s="677">
        <f>(K131*100/(K140+100))</f>
        <v>1.5341166646785163</v>
      </c>
      <c r="L141" s="678"/>
      <c r="M141" s="506"/>
      <c r="Q141" s="26"/>
      <c r="R141" s="26"/>
    </row>
    <row r="142" spans="1:18" ht="13.5" thickTop="1">
      <c r="A142" s="114"/>
      <c r="B142" s="26"/>
      <c r="C142" s="26"/>
      <c r="D142" s="26"/>
      <c r="E142" s="27"/>
      <c r="F142" s="27"/>
      <c r="G142" s="26"/>
      <c r="H142" s="27"/>
      <c r="I142" s="27"/>
      <c r="J142" s="26"/>
      <c r="K142" s="27"/>
      <c r="L142" s="27"/>
      <c r="M142" s="115"/>
      <c r="Q142" s="26"/>
      <c r="R142" s="26"/>
    </row>
    <row r="143" spans="1:18" ht="12.75">
      <c r="A143" s="114"/>
      <c r="B143" s="26"/>
      <c r="C143" s="26"/>
      <c r="D143" s="26"/>
      <c r="E143" s="27"/>
      <c r="F143" s="27"/>
      <c r="G143" s="26"/>
      <c r="H143" s="27"/>
      <c r="I143" s="27"/>
      <c r="J143" s="26"/>
      <c r="K143" s="27"/>
      <c r="L143" s="27"/>
      <c r="M143" s="115"/>
      <c r="Q143" s="26"/>
      <c r="R143" s="26"/>
    </row>
    <row r="144" spans="1:18" ht="13.5" thickBot="1">
      <c r="A144" s="692" t="s">
        <v>90</v>
      </c>
      <c r="B144" s="693"/>
      <c r="C144" s="693"/>
      <c r="D144" s="693"/>
      <c r="E144" s="693"/>
      <c r="F144" s="693"/>
      <c r="G144" s="693"/>
      <c r="H144" s="693"/>
      <c r="I144" s="693"/>
      <c r="J144" s="693"/>
      <c r="K144" s="693"/>
      <c r="L144" s="693"/>
      <c r="M144" s="694"/>
      <c r="Q144" s="26"/>
      <c r="R144" s="26"/>
    </row>
    <row r="145" spans="1:18" ht="13.5" thickTop="1">
      <c r="A145" s="671" t="s">
        <v>84</v>
      </c>
      <c r="B145" s="672"/>
      <c r="C145" s="672" t="s">
        <v>85</v>
      </c>
      <c r="D145" s="523" t="s">
        <v>86</v>
      </c>
      <c r="E145" s="675" t="s">
        <v>87</v>
      </c>
      <c r="F145" s="675"/>
      <c r="G145" s="675"/>
      <c r="H145" s="675" t="s">
        <v>118</v>
      </c>
      <c r="I145" s="675"/>
      <c r="J145" s="675"/>
      <c r="K145" s="675" t="s">
        <v>119</v>
      </c>
      <c r="L145" s="675"/>
      <c r="M145" s="676"/>
      <c r="Q145" s="26"/>
      <c r="R145" s="26"/>
    </row>
    <row r="146" spans="1:13" ht="12.75">
      <c r="A146" s="673"/>
      <c r="B146" s="674"/>
      <c r="C146" s="674"/>
      <c r="D146" s="524" t="s">
        <v>127</v>
      </c>
      <c r="E146" s="524" t="s">
        <v>88</v>
      </c>
      <c r="F146" s="669" t="s">
        <v>90</v>
      </c>
      <c r="G146" s="669"/>
      <c r="H146" s="524" t="s">
        <v>88</v>
      </c>
      <c r="I146" s="669" t="s">
        <v>90</v>
      </c>
      <c r="J146" s="669"/>
      <c r="K146" s="524" t="s">
        <v>88</v>
      </c>
      <c r="L146" s="669" t="s">
        <v>90</v>
      </c>
      <c r="M146" s="670"/>
    </row>
    <row r="147" spans="1:13" ht="12.75">
      <c r="A147" s="673"/>
      <c r="B147" s="674"/>
      <c r="C147" s="674"/>
      <c r="D147" s="524" t="s">
        <v>128</v>
      </c>
      <c r="E147" s="524" t="s">
        <v>89</v>
      </c>
      <c r="F147" s="524" t="s">
        <v>91</v>
      </c>
      <c r="G147" s="524" t="s">
        <v>23</v>
      </c>
      <c r="H147" s="524" t="s">
        <v>89</v>
      </c>
      <c r="I147" s="524" t="s">
        <v>91</v>
      </c>
      <c r="J147" s="524" t="s">
        <v>23</v>
      </c>
      <c r="K147" s="524" t="s">
        <v>89</v>
      </c>
      <c r="L147" s="524" t="s">
        <v>91</v>
      </c>
      <c r="M147" s="525" t="s">
        <v>23</v>
      </c>
    </row>
    <row r="148" spans="1:13" ht="12.75">
      <c r="A148" s="699">
        <v>39232</v>
      </c>
      <c r="B148" s="700"/>
      <c r="C148" s="515">
        <v>0.5833333333333334</v>
      </c>
      <c r="D148" s="696">
        <v>4</v>
      </c>
      <c r="E148" s="516">
        <v>0.4</v>
      </c>
      <c r="F148" s="517">
        <f>E148*2.54</f>
        <v>1.016</v>
      </c>
      <c r="G148" s="517"/>
      <c r="H148" s="516">
        <v>0.478</v>
      </c>
      <c r="I148" s="517">
        <f>H148*2.54</f>
        <v>1.2141199999999999</v>
      </c>
      <c r="J148" s="517"/>
      <c r="K148" s="516">
        <v>0.182</v>
      </c>
      <c r="L148" s="517">
        <f>K148*2.54</f>
        <v>0.46227999999999997</v>
      </c>
      <c r="M148" s="518"/>
    </row>
    <row r="149" spans="1:13" ht="12.75">
      <c r="A149" s="699"/>
      <c r="B149" s="700"/>
      <c r="C149" s="515"/>
      <c r="D149" s="697"/>
      <c r="E149" s="516"/>
      <c r="F149" s="517"/>
      <c r="G149" s="517"/>
      <c r="H149" s="516"/>
      <c r="I149" s="517"/>
      <c r="J149" s="517"/>
      <c r="K149" s="516"/>
      <c r="L149" s="517"/>
      <c r="M149" s="518"/>
    </row>
    <row r="150" spans="1:13" ht="13.5" thickBot="1">
      <c r="A150" s="699">
        <v>39263</v>
      </c>
      <c r="B150" s="700"/>
      <c r="C150" s="515">
        <f>C148</f>
        <v>0.5833333333333334</v>
      </c>
      <c r="D150" s="698"/>
      <c r="E150" s="516">
        <v>0.425</v>
      </c>
      <c r="F150" s="517">
        <f>E150*2.54</f>
        <v>1.0795</v>
      </c>
      <c r="G150" s="519">
        <f>(F150-F148)*100/P129</f>
        <v>0.5512152777777768</v>
      </c>
      <c r="H150" s="516">
        <v>0.533</v>
      </c>
      <c r="I150" s="517">
        <f>H150*2.54</f>
        <v>1.35382</v>
      </c>
      <c r="J150" s="519">
        <f>(I150-I148)*100/Q129</f>
        <v>1.2105719237435024</v>
      </c>
      <c r="K150" s="516">
        <v>0.247</v>
      </c>
      <c r="L150" s="517">
        <f>K150*2.54</f>
        <v>0.62738</v>
      </c>
      <c r="M150" s="519">
        <f>(L150-L148)*100/R129</f>
        <v>1.4282006920415231</v>
      </c>
    </row>
    <row r="151" spans="1:13" ht="13.5" thickTop="1">
      <c r="A151" s="114"/>
      <c r="B151" s="26"/>
      <c r="C151" s="26"/>
      <c r="D151" s="26"/>
      <c r="E151" s="26"/>
      <c r="F151" s="26"/>
      <c r="G151" s="9"/>
      <c r="H151" s="9"/>
      <c r="I151" s="26"/>
      <c r="J151" s="26"/>
      <c r="K151" s="26"/>
      <c r="L151" s="26"/>
      <c r="M151" s="115"/>
    </row>
    <row r="152" spans="1:13" ht="13.5" thickBot="1">
      <c r="A152" s="692" t="s">
        <v>98</v>
      </c>
      <c r="B152" s="693"/>
      <c r="C152" s="693"/>
      <c r="D152" s="693"/>
      <c r="E152" s="693"/>
      <c r="F152" s="693"/>
      <c r="G152" s="693"/>
      <c r="H152" s="693"/>
      <c r="I152" s="693"/>
      <c r="J152" s="693"/>
      <c r="K152" s="693"/>
      <c r="L152" s="693"/>
      <c r="M152" s="694"/>
    </row>
    <row r="153" spans="1:13" ht="13.5" thickTop="1">
      <c r="A153" s="695" t="s">
        <v>92</v>
      </c>
      <c r="B153" s="690"/>
      <c r="C153" s="690"/>
      <c r="D153" s="530" t="s">
        <v>95</v>
      </c>
      <c r="E153" s="690" t="s">
        <v>120</v>
      </c>
      <c r="F153" s="690"/>
      <c r="G153" s="691"/>
      <c r="H153" s="675" t="s">
        <v>121</v>
      </c>
      <c r="I153" s="675"/>
      <c r="J153" s="675"/>
      <c r="K153" s="675" t="s">
        <v>122</v>
      </c>
      <c r="L153" s="675"/>
      <c r="M153" s="676"/>
    </row>
    <row r="154" spans="1:13" ht="12.75">
      <c r="A154" s="531"/>
      <c r="B154" s="532"/>
      <c r="C154" s="532"/>
      <c r="D154" s="533" t="s">
        <v>96</v>
      </c>
      <c r="E154" s="664" t="s">
        <v>123</v>
      </c>
      <c r="F154" s="665"/>
      <c r="G154" s="535" t="s">
        <v>130</v>
      </c>
      <c r="H154" s="664" t="s">
        <v>123</v>
      </c>
      <c r="I154" s="665"/>
      <c r="J154" s="535" t="s">
        <v>130</v>
      </c>
      <c r="K154" s="664" t="s">
        <v>123</v>
      </c>
      <c r="L154" s="665"/>
      <c r="M154" s="536" t="s">
        <v>130</v>
      </c>
    </row>
    <row r="155" spans="1:13" ht="12.75">
      <c r="A155" s="537" t="s">
        <v>93</v>
      </c>
      <c r="B155" s="524" t="s">
        <v>94</v>
      </c>
      <c r="C155" s="524" t="s">
        <v>91</v>
      </c>
      <c r="D155" s="538" t="s">
        <v>97</v>
      </c>
      <c r="E155" s="534" t="s">
        <v>124</v>
      </c>
      <c r="F155" s="524" t="s">
        <v>125</v>
      </c>
      <c r="G155" s="524" t="s">
        <v>23</v>
      </c>
      <c r="H155" s="524" t="s">
        <v>124</v>
      </c>
      <c r="I155" s="524" t="s">
        <v>125</v>
      </c>
      <c r="J155" s="524" t="s">
        <v>23</v>
      </c>
      <c r="K155" s="524" t="s">
        <v>124</v>
      </c>
      <c r="L155" s="524" t="s">
        <v>125</v>
      </c>
      <c r="M155" s="525" t="s">
        <v>23</v>
      </c>
    </row>
    <row r="156" spans="1:13" ht="12.75">
      <c r="A156" s="539">
        <v>0.5</v>
      </c>
      <c r="B156" s="540">
        <v>0.025</v>
      </c>
      <c r="C156" s="541">
        <f aca="true" t="shared" si="5" ref="C156:C163">B156*2.54</f>
        <v>0.0635</v>
      </c>
      <c r="D156" s="509"/>
      <c r="E156" s="509">
        <v>25</v>
      </c>
      <c r="F156" s="509">
        <v>84</v>
      </c>
      <c r="G156" s="509"/>
      <c r="H156" s="509">
        <v>25</v>
      </c>
      <c r="I156" s="509">
        <v>84</v>
      </c>
      <c r="J156" s="545"/>
      <c r="K156" s="509">
        <v>20</v>
      </c>
      <c r="L156" s="509">
        <v>71</v>
      </c>
      <c r="M156" s="510"/>
    </row>
    <row r="157" spans="1:13" ht="12.75">
      <c r="A157" s="542">
        <v>1</v>
      </c>
      <c r="B157" s="543">
        <v>0.05</v>
      </c>
      <c r="C157" s="513">
        <f t="shared" si="5"/>
        <v>0.127</v>
      </c>
      <c r="D157" s="511"/>
      <c r="E157" s="511">
        <v>95</v>
      </c>
      <c r="F157" s="509">
        <v>272</v>
      </c>
      <c r="G157" s="511"/>
      <c r="H157" s="511">
        <v>95</v>
      </c>
      <c r="I157" s="509">
        <v>272</v>
      </c>
      <c r="J157" s="545"/>
      <c r="K157" s="511">
        <v>82</v>
      </c>
      <c r="L157" s="509">
        <v>237</v>
      </c>
      <c r="M157" s="512"/>
    </row>
    <row r="158" spans="1:13" ht="12.75">
      <c r="A158" s="544">
        <v>1.5</v>
      </c>
      <c r="B158" s="543">
        <v>0.075</v>
      </c>
      <c r="C158" s="513">
        <f t="shared" si="5"/>
        <v>0.1905</v>
      </c>
      <c r="D158" s="511"/>
      <c r="E158" s="511">
        <v>225</v>
      </c>
      <c r="F158" s="509">
        <v>622</v>
      </c>
      <c r="G158" s="511"/>
      <c r="H158" s="511">
        <v>198</v>
      </c>
      <c r="I158" s="509">
        <v>549</v>
      </c>
      <c r="J158" s="545"/>
      <c r="K158" s="511">
        <v>144</v>
      </c>
      <c r="L158" s="509">
        <v>404</v>
      </c>
      <c r="M158" s="512"/>
    </row>
    <row r="159" spans="1:13" ht="12.75">
      <c r="A159" s="542">
        <v>2</v>
      </c>
      <c r="B159" s="543">
        <v>0.1</v>
      </c>
      <c r="C159" s="513">
        <f t="shared" si="5"/>
        <v>0.254</v>
      </c>
      <c r="D159" s="511">
        <v>1000</v>
      </c>
      <c r="E159" s="511">
        <v>366</v>
      </c>
      <c r="F159" s="509">
        <v>1001</v>
      </c>
      <c r="G159" s="545">
        <f>F159*100/D159</f>
        <v>100.1</v>
      </c>
      <c r="H159" s="511">
        <v>265</v>
      </c>
      <c r="I159" s="509">
        <v>729</v>
      </c>
      <c r="J159" s="545">
        <f>I159*100/D159</f>
        <v>72.9</v>
      </c>
      <c r="K159" s="511">
        <v>190</v>
      </c>
      <c r="L159" s="509">
        <v>528</v>
      </c>
      <c r="M159" s="546">
        <f>L159*100/D159</f>
        <v>52.8</v>
      </c>
    </row>
    <row r="160" spans="1:13" ht="12.75">
      <c r="A160" s="542">
        <f>A159+2</f>
        <v>4</v>
      </c>
      <c r="B160" s="543">
        <v>0.2</v>
      </c>
      <c r="C160" s="513">
        <f t="shared" si="5"/>
        <v>0.508</v>
      </c>
      <c r="D160" s="511">
        <v>1500</v>
      </c>
      <c r="E160" s="511">
        <v>672</v>
      </c>
      <c r="F160" s="509">
        <v>1823</v>
      </c>
      <c r="G160" s="545">
        <f>F160*100/D160</f>
        <v>121.53333333333333</v>
      </c>
      <c r="H160" s="511">
        <v>445</v>
      </c>
      <c r="I160" s="509">
        <v>1213</v>
      </c>
      <c r="J160" s="545">
        <f>I160*100/D160</f>
        <v>80.86666666666666</v>
      </c>
      <c r="K160" s="511">
        <v>312</v>
      </c>
      <c r="L160" s="509">
        <v>855</v>
      </c>
      <c r="M160" s="546">
        <f>L160*100/D160</f>
        <v>57</v>
      </c>
    </row>
    <row r="161" spans="1:13" ht="12.75">
      <c r="A161" s="542">
        <f>A160+2</f>
        <v>6</v>
      </c>
      <c r="B161" s="543">
        <v>0.3</v>
      </c>
      <c r="C161" s="513">
        <f t="shared" si="5"/>
        <v>0.762</v>
      </c>
      <c r="D161" s="511"/>
      <c r="E161" s="511">
        <v>830</v>
      </c>
      <c r="F161" s="509">
        <v>2248</v>
      </c>
      <c r="G161" s="545"/>
      <c r="H161" s="511">
        <v>597</v>
      </c>
      <c r="I161" s="509">
        <v>1621</v>
      </c>
      <c r="J161" s="545"/>
      <c r="K161" s="511">
        <v>380</v>
      </c>
      <c r="L161" s="509">
        <v>1038</v>
      </c>
      <c r="M161" s="546"/>
    </row>
    <row r="162" spans="1:13" ht="12.75">
      <c r="A162" s="542">
        <f>A161+2</f>
        <v>8</v>
      </c>
      <c r="B162" s="543">
        <v>0.4</v>
      </c>
      <c r="C162" s="513">
        <f t="shared" si="5"/>
        <v>1.016</v>
      </c>
      <c r="D162" s="511"/>
      <c r="E162" s="511">
        <v>937</v>
      </c>
      <c r="F162" s="509">
        <v>2535</v>
      </c>
      <c r="G162" s="545"/>
      <c r="H162" s="511">
        <v>730</v>
      </c>
      <c r="I162" s="509">
        <v>1979</v>
      </c>
      <c r="J162" s="545"/>
      <c r="K162" s="511">
        <v>416</v>
      </c>
      <c r="L162" s="509">
        <v>1135</v>
      </c>
      <c r="M162" s="546"/>
    </row>
    <row r="163" spans="1:13" ht="13.5" thickBot="1">
      <c r="A163" s="565">
        <f>A162+2</f>
        <v>10</v>
      </c>
      <c r="B163" s="514">
        <v>0.5</v>
      </c>
      <c r="C163" s="566">
        <f t="shared" si="5"/>
        <v>1.27</v>
      </c>
      <c r="D163" s="567"/>
      <c r="E163" s="567">
        <v>996</v>
      </c>
      <c r="F163" s="528">
        <v>2694</v>
      </c>
      <c r="G163" s="568"/>
      <c r="H163" s="567">
        <v>813</v>
      </c>
      <c r="I163" s="528">
        <v>2202</v>
      </c>
      <c r="J163" s="568"/>
      <c r="K163" s="567">
        <v>465</v>
      </c>
      <c r="L163" s="528">
        <v>1267</v>
      </c>
      <c r="M163" s="569"/>
    </row>
    <row r="164" spans="1:13" ht="13.5" thickTop="1">
      <c r="A164" s="164"/>
      <c r="B164" s="28"/>
      <c r="C164" s="29"/>
      <c r="D164" s="30"/>
      <c r="E164" s="30"/>
      <c r="F164" s="30"/>
      <c r="G164" s="165"/>
      <c r="H164" s="30"/>
      <c r="I164" s="30"/>
      <c r="J164" s="165"/>
      <c r="K164" s="30"/>
      <c r="L164" s="30"/>
      <c r="M164" s="166"/>
    </row>
    <row r="165" spans="1:13" ht="12.75">
      <c r="A165" s="164"/>
      <c r="B165" s="28"/>
      <c r="C165" s="29"/>
      <c r="D165" s="30"/>
      <c r="E165" s="30"/>
      <c r="F165" s="30"/>
      <c r="G165" s="165"/>
      <c r="H165" s="30"/>
      <c r="I165" s="30"/>
      <c r="J165" s="165"/>
      <c r="K165" s="30"/>
      <c r="L165" s="30"/>
      <c r="M165" s="166"/>
    </row>
    <row r="166" spans="1:13" ht="13.5" thickBot="1">
      <c r="A166" s="118"/>
      <c r="B166" s="119"/>
      <c r="C166" s="120"/>
      <c r="D166" s="113"/>
      <c r="E166" s="113"/>
      <c r="F166" s="113"/>
      <c r="G166" s="113"/>
      <c r="H166" s="113"/>
      <c r="I166" s="113"/>
      <c r="J166" s="113"/>
      <c r="K166" s="113"/>
      <c r="L166" s="113"/>
      <c r="M166" s="121"/>
    </row>
    <row r="167" spans="1:13" ht="15.75" thickBot="1">
      <c r="A167" s="666" t="s">
        <v>165</v>
      </c>
      <c r="B167" s="667"/>
      <c r="C167" s="667"/>
      <c r="D167" s="667"/>
      <c r="E167" s="667"/>
      <c r="F167" s="667"/>
      <c r="G167" s="667"/>
      <c r="H167" s="667"/>
      <c r="I167" s="667"/>
      <c r="J167" s="667"/>
      <c r="K167" s="667"/>
      <c r="L167" s="667"/>
      <c r="M167" s="668"/>
    </row>
    <row r="168" spans="1:13" ht="15">
      <c r="A168" s="125"/>
      <c r="B168" s="126"/>
      <c r="C168" s="126"/>
      <c r="D168" s="126"/>
      <c r="E168" s="126"/>
      <c r="F168" s="126"/>
      <c r="G168" s="126"/>
      <c r="H168" s="126"/>
      <c r="I168" s="126"/>
      <c r="J168" s="126"/>
      <c r="K168" s="126"/>
      <c r="L168" s="126"/>
      <c r="M168" s="127"/>
    </row>
    <row r="169" spans="1:13" ht="15">
      <c r="A169" s="122"/>
      <c r="B169" s="83"/>
      <c r="C169" s="83"/>
      <c r="D169" s="83"/>
      <c r="E169" s="680" t="s">
        <v>126</v>
      </c>
      <c r="F169" s="680"/>
      <c r="G169" s="680"/>
      <c r="H169" s="680"/>
      <c r="I169" s="680"/>
      <c r="J169" s="83"/>
      <c r="K169" s="83"/>
      <c r="L169" s="83"/>
      <c r="M169" s="87"/>
    </row>
    <row r="170" spans="1:13" ht="12.75">
      <c r="A170" s="122"/>
      <c r="B170" s="83"/>
      <c r="C170" s="83"/>
      <c r="D170" s="83"/>
      <c r="E170" s="83"/>
      <c r="F170" s="83"/>
      <c r="G170" s="83"/>
      <c r="H170" s="83"/>
      <c r="I170" s="83"/>
      <c r="J170" s="83"/>
      <c r="K170" s="83"/>
      <c r="L170" s="83"/>
      <c r="M170" s="87"/>
    </row>
    <row r="171" spans="1:13" ht="12.75">
      <c r="A171" s="122"/>
      <c r="B171" s="83"/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7"/>
    </row>
    <row r="172" spans="1:13" ht="12.75">
      <c r="A172" s="122"/>
      <c r="B172" s="83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7"/>
    </row>
    <row r="173" spans="1:13" ht="12.75">
      <c r="A173" s="122"/>
      <c r="B173" s="83"/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87"/>
    </row>
    <row r="174" spans="1:13" ht="12.75">
      <c r="A174" s="122"/>
      <c r="B174" s="83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7"/>
    </row>
    <row r="175" spans="1:13" ht="12.75">
      <c r="A175" s="122"/>
      <c r="B175" s="83"/>
      <c r="C175" s="83"/>
      <c r="D175" s="83"/>
      <c r="E175" s="83"/>
      <c r="F175" s="83"/>
      <c r="G175" s="83"/>
      <c r="H175" s="83"/>
      <c r="I175" s="83"/>
      <c r="J175" s="83"/>
      <c r="K175" s="83"/>
      <c r="L175" s="83"/>
      <c r="M175" s="87"/>
    </row>
    <row r="176" spans="1:13" ht="12.75">
      <c r="A176" s="122"/>
      <c r="B176" s="83"/>
      <c r="C176" s="83"/>
      <c r="D176" s="83"/>
      <c r="E176" s="83"/>
      <c r="F176" s="83"/>
      <c r="G176" s="83"/>
      <c r="H176" s="83"/>
      <c r="I176" s="83"/>
      <c r="J176" s="83"/>
      <c r="K176" s="83"/>
      <c r="L176" s="83"/>
      <c r="M176" s="87"/>
    </row>
    <row r="177" spans="1:13" ht="12.75">
      <c r="A177" s="122"/>
      <c r="B177" s="83"/>
      <c r="C177" s="83"/>
      <c r="D177" s="83"/>
      <c r="E177" s="83"/>
      <c r="F177" s="83"/>
      <c r="G177" s="83"/>
      <c r="H177" s="83"/>
      <c r="I177" s="83"/>
      <c r="J177" s="83"/>
      <c r="K177" s="83"/>
      <c r="L177" s="83"/>
      <c r="M177" s="87"/>
    </row>
    <row r="178" spans="1:13" ht="12.75">
      <c r="A178" s="122"/>
      <c r="B178" s="83"/>
      <c r="C178" s="83"/>
      <c r="D178" s="83"/>
      <c r="E178" s="83"/>
      <c r="F178" s="83"/>
      <c r="G178" s="83"/>
      <c r="H178" s="83"/>
      <c r="I178" s="83"/>
      <c r="J178" s="83"/>
      <c r="K178" s="83"/>
      <c r="L178" s="83"/>
      <c r="M178" s="87"/>
    </row>
    <row r="179" spans="1:13" ht="12.75">
      <c r="A179" s="122"/>
      <c r="B179" s="83"/>
      <c r="C179" s="83"/>
      <c r="D179" s="83"/>
      <c r="E179" s="83"/>
      <c r="F179" s="83"/>
      <c r="G179" s="83"/>
      <c r="H179" s="83"/>
      <c r="I179" s="83"/>
      <c r="J179" s="83"/>
      <c r="K179" s="83"/>
      <c r="L179" s="83"/>
      <c r="M179" s="87"/>
    </row>
    <row r="180" spans="1:13" ht="12.75">
      <c r="A180" s="122"/>
      <c r="B180" s="83"/>
      <c r="C180" s="83"/>
      <c r="D180" s="83"/>
      <c r="E180" s="83"/>
      <c r="F180" s="83"/>
      <c r="G180" s="83"/>
      <c r="H180" s="83"/>
      <c r="I180" s="83"/>
      <c r="J180" s="83"/>
      <c r="K180" s="83"/>
      <c r="L180" s="83"/>
      <c r="M180" s="87"/>
    </row>
    <row r="181" spans="1:13" ht="12.75">
      <c r="A181" s="122"/>
      <c r="B181" s="83"/>
      <c r="C181" s="83"/>
      <c r="D181" s="83"/>
      <c r="E181" s="83"/>
      <c r="F181" s="83"/>
      <c r="G181" s="83"/>
      <c r="H181" s="83"/>
      <c r="I181" s="83"/>
      <c r="J181" s="83"/>
      <c r="K181" s="83"/>
      <c r="L181" s="83"/>
      <c r="M181" s="87"/>
    </row>
    <row r="182" spans="1:13" ht="12.75">
      <c r="A182" s="122"/>
      <c r="B182" s="83"/>
      <c r="C182" s="83"/>
      <c r="D182" s="83"/>
      <c r="E182" s="83"/>
      <c r="F182" s="83"/>
      <c r="G182" s="83"/>
      <c r="H182" s="83"/>
      <c r="I182" s="83"/>
      <c r="J182" s="83"/>
      <c r="K182" s="83"/>
      <c r="L182" s="83"/>
      <c r="M182" s="87"/>
    </row>
    <row r="183" spans="1:13" ht="12.75">
      <c r="A183" s="122"/>
      <c r="B183" s="83"/>
      <c r="C183" s="83"/>
      <c r="D183" s="83"/>
      <c r="E183" s="83"/>
      <c r="F183" s="83"/>
      <c r="G183" s="83"/>
      <c r="H183" s="83"/>
      <c r="I183" s="83"/>
      <c r="J183" s="83"/>
      <c r="K183" s="83"/>
      <c r="L183" s="83"/>
      <c r="M183" s="87"/>
    </row>
    <row r="184" spans="1:13" ht="12.75">
      <c r="A184" s="122"/>
      <c r="B184" s="83"/>
      <c r="C184" s="83"/>
      <c r="D184" s="83"/>
      <c r="E184" s="83"/>
      <c r="F184" s="83"/>
      <c r="G184" s="83"/>
      <c r="H184" s="83"/>
      <c r="I184" s="83"/>
      <c r="J184" s="83"/>
      <c r="K184" s="83"/>
      <c r="L184" s="83"/>
      <c r="M184" s="87"/>
    </row>
    <row r="185" spans="1:15" ht="12.75">
      <c r="A185" s="122"/>
      <c r="B185" s="83"/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87"/>
      <c r="O185" s="15"/>
    </row>
    <row r="186" spans="1:18" ht="12.75">
      <c r="A186" s="122"/>
      <c r="B186" s="83"/>
      <c r="C186" s="83"/>
      <c r="D186" s="83"/>
      <c r="E186" s="83"/>
      <c r="F186" s="83"/>
      <c r="G186" s="83"/>
      <c r="H186" s="83"/>
      <c r="I186" s="83"/>
      <c r="J186" s="83"/>
      <c r="K186" s="83"/>
      <c r="L186" s="83"/>
      <c r="M186" s="87"/>
      <c r="O186" s="32">
        <v>0</v>
      </c>
      <c r="P186" s="33">
        <v>0</v>
      </c>
      <c r="Q186" s="33">
        <f>P186</f>
        <v>0</v>
      </c>
      <c r="R186" s="34">
        <f>Q186</f>
        <v>0</v>
      </c>
    </row>
    <row r="187" spans="1:18" ht="12.75">
      <c r="A187" s="122"/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7"/>
      <c r="O187" s="35">
        <f aca="true" t="shared" si="6" ref="O187:O194">B156</f>
        <v>0.025</v>
      </c>
      <c r="P187" s="9">
        <f aca="true" t="shared" si="7" ref="P187:P194">F156</f>
        <v>84</v>
      </c>
      <c r="Q187" s="9">
        <f aca="true" t="shared" si="8" ref="Q187:Q194">I156</f>
        <v>84</v>
      </c>
      <c r="R187" s="36">
        <f aca="true" t="shared" si="9" ref="R187:R194">L156</f>
        <v>71</v>
      </c>
    </row>
    <row r="188" spans="1:18" ht="12.75">
      <c r="A188" s="122"/>
      <c r="B188" s="83"/>
      <c r="C188" s="83"/>
      <c r="D188" s="83"/>
      <c r="E188" s="83"/>
      <c r="F188" s="83"/>
      <c r="G188" s="83"/>
      <c r="H188" s="83"/>
      <c r="I188" s="83"/>
      <c r="J188" s="83"/>
      <c r="K188" s="83"/>
      <c r="L188" s="83"/>
      <c r="M188" s="87"/>
      <c r="O188" s="35">
        <f t="shared" si="6"/>
        <v>0.05</v>
      </c>
      <c r="P188" s="9">
        <f t="shared" si="7"/>
        <v>272</v>
      </c>
      <c r="Q188" s="9">
        <f t="shared" si="8"/>
        <v>272</v>
      </c>
      <c r="R188" s="36">
        <f t="shared" si="9"/>
        <v>237</v>
      </c>
    </row>
    <row r="189" spans="1:18" ht="12.75">
      <c r="A189" s="122"/>
      <c r="B189" s="83"/>
      <c r="C189" s="83"/>
      <c r="D189" s="83"/>
      <c r="E189" s="83"/>
      <c r="F189" s="83"/>
      <c r="G189" s="83"/>
      <c r="H189" s="83"/>
      <c r="I189" s="83"/>
      <c r="J189" s="83"/>
      <c r="K189" s="83"/>
      <c r="L189" s="83"/>
      <c r="M189" s="87"/>
      <c r="O189" s="35">
        <f t="shared" si="6"/>
        <v>0.075</v>
      </c>
      <c r="P189" s="9">
        <f t="shared" si="7"/>
        <v>622</v>
      </c>
      <c r="Q189" s="9">
        <f t="shared" si="8"/>
        <v>549</v>
      </c>
      <c r="R189" s="36">
        <f t="shared" si="9"/>
        <v>404</v>
      </c>
    </row>
    <row r="190" spans="1:18" ht="12.75">
      <c r="A190" s="122"/>
      <c r="B190" s="83"/>
      <c r="C190" s="83"/>
      <c r="D190" s="83"/>
      <c r="E190" s="83"/>
      <c r="F190" s="83"/>
      <c r="G190" s="83"/>
      <c r="H190" s="83"/>
      <c r="I190" s="83"/>
      <c r="J190" s="83"/>
      <c r="K190" s="83"/>
      <c r="L190" s="83"/>
      <c r="M190" s="87"/>
      <c r="O190" s="35">
        <f t="shared" si="6"/>
        <v>0.1</v>
      </c>
      <c r="P190" s="9">
        <f t="shared" si="7"/>
        <v>1001</v>
      </c>
      <c r="Q190" s="9">
        <f t="shared" si="8"/>
        <v>729</v>
      </c>
      <c r="R190" s="36">
        <f t="shared" si="9"/>
        <v>528</v>
      </c>
    </row>
    <row r="191" spans="1:18" ht="12.75">
      <c r="A191" s="122"/>
      <c r="B191" s="83"/>
      <c r="C191" s="83"/>
      <c r="D191" s="83"/>
      <c r="E191" s="83"/>
      <c r="F191" s="83"/>
      <c r="G191" s="83"/>
      <c r="H191" s="83"/>
      <c r="I191" s="83"/>
      <c r="J191" s="83"/>
      <c r="K191" s="83"/>
      <c r="L191" s="83"/>
      <c r="M191" s="87"/>
      <c r="O191" s="35">
        <f t="shared" si="6"/>
        <v>0.2</v>
      </c>
      <c r="P191" s="9">
        <f t="shared" si="7"/>
        <v>1823</v>
      </c>
      <c r="Q191" s="9">
        <f t="shared" si="8"/>
        <v>1213</v>
      </c>
      <c r="R191" s="36">
        <f t="shared" si="9"/>
        <v>855</v>
      </c>
    </row>
    <row r="192" spans="1:18" ht="12.75">
      <c r="A192" s="122"/>
      <c r="B192" s="83"/>
      <c r="C192" s="83"/>
      <c r="D192" s="83"/>
      <c r="E192" s="83"/>
      <c r="F192" s="83"/>
      <c r="G192" s="83"/>
      <c r="H192" s="83"/>
      <c r="I192" s="83"/>
      <c r="J192" s="83"/>
      <c r="K192" s="83"/>
      <c r="L192" s="83"/>
      <c r="M192" s="87"/>
      <c r="O192" s="35">
        <f t="shared" si="6"/>
        <v>0.3</v>
      </c>
      <c r="P192" s="9">
        <f t="shared" si="7"/>
        <v>2248</v>
      </c>
      <c r="Q192" s="9">
        <f t="shared" si="8"/>
        <v>1621</v>
      </c>
      <c r="R192" s="36">
        <f t="shared" si="9"/>
        <v>1038</v>
      </c>
    </row>
    <row r="193" spans="1:18" ht="12.75">
      <c r="A193" s="122"/>
      <c r="B193" s="83"/>
      <c r="C193" s="83"/>
      <c r="D193" s="83"/>
      <c r="E193" s="83"/>
      <c r="F193" s="83"/>
      <c r="G193" s="83"/>
      <c r="H193" s="83"/>
      <c r="I193" s="83"/>
      <c r="J193" s="83"/>
      <c r="K193" s="83"/>
      <c r="L193" s="83"/>
      <c r="M193" s="87"/>
      <c r="O193" s="35">
        <f t="shared" si="6"/>
        <v>0.4</v>
      </c>
      <c r="P193" s="9">
        <f t="shared" si="7"/>
        <v>2535</v>
      </c>
      <c r="Q193" s="9">
        <f t="shared" si="8"/>
        <v>1979</v>
      </c>
      <c r="R193" s="36">
        <f t="shared" si="9"/>
        <v>1135</v>
      </c>
    </row>
    <row r="194" spans="1:18" ht="12.75">
      <c r="A194" s="122"/>
      <c r="B194" s="83"/>
      <c r="C194" s="83"/>
      <c r="D194" s="83"/>
      <c r="E194" s="83"/>
      <c r="F194" s="83"/>
      <c r="G194" s="83"/>
      <c r="H194" s="83"/>
      <c r="I194" s="83"/>
      <c r="J194" s="83"/>
      <c r="K194" s="83"/>
      <c r="L194" s="83"/>
      <c r="M194" s="87"/>
      <c r="O194" s="37">
        <f t="shared" si="6"/>
        <v>0.5</v>
      </c>
      <c r="P194" s="38">
        <f t="shared" si="7"/>
        <v>2694</v>
      </c>
      <c r="Q194" s="38">
        <f t="shared" si="8"/>
        <v>2202</v>
      </c>
      <c r="R194" s="39">
        <f t="shared" si="9"/>
        <v>1267</v>
      </c>
    </row>
    <row r="195" spans="1:13" ht="12.75">
      <c r="A195" s="122"/>
      <c r="B195" s="83"/>
      <c r="C195" s="83"/>
      <c r="D195" s="83"/>
      <c r="E195" s="83"/>
      <c r="F195" s="83"/>
      <c r="G195" s="83"/>
      <c r="H195" s="83"/>
      <c r="I195" s="83"/>
      <c r="J195" s="83"/>
      <c r="K195" s="83"/>
      <c r="L195" s="83"/>
      <c r="M195" s="87"/>
    </row>
    <row r="196" spans="1:13" ht="12.75">
      <c r="A196" s="122"/>
      <c r="B196" s="83"/>
      <c r="C196" s="83"/>
      <c r="D196" s="83"/>
      <c r="E196" s="83"/>
      <c r="F196" s="83"/>
      <c r="G196" s="83"/>
      <c r="H196" s="83"/>
      <c r="I196" s="83"/>
      <c r="J196" s="83"/>
      <c r="K196" s="83"/>
      <c r="L196" s="83"/>
      <c r="M196" s="87"/>
    </row>
    <row r="197" spans="1:13" ht="12.75">
      <c r="A197" s="122"/>
      <c r="B197" s="83"/>
      <c r="C197" s="83"/>
      <c r="D197" s="83"/>
      <c r="E197" s="83"/>
      <c r="F197" s="83"/>
      <c r="G197" s="83"/>
      <c r="H197" s="83"/>
      <c r="I197" s="83"/>
      <c r="J197" s="83"/>
      <c r="K197" s="83"/>
      <c r="L197" s="83"/>
      <c r="M197" s="87"/>
    </row>
    <row r="198" spans="1:13" ht="12.75">
      <c r="A198" s="122"/>
      <c r="B198" s="83"/>
      <c r="C198" s="83"/>
      <c r="D198" s="83"/>
      <c r="E198" s="83"/>
      <c r="F198" s="83"/>
      <c r="G198" s="83"/>
      <c r="H198" s="83"/>
      <c r="I198" s="83"/>
      <c r="J198" s="83"/>
      <c r="K198" s="83"/>
      <c r="L198" s="83"/>
      <c r="M198" s="87"/>
    </row>
    <row r="199" spans="1:13" ht="12.75">
      <c r="A199" s="122"/>
      <c r="B199" s="83"/>
      <c r="C199" s="83"/>
      <c r="D199" s="83"/>
      <c r="E199" s="83"/>
      <c r="F199" s="83"/>
      <c r="G199" s="83"/>
      <c r="H199" s="83"/>
      <c r="I199" s="83"/>
      <c r="J199" s="83"/>
      <c r="K199" s="83"/>
      <c r="L199" s="83"/>
      <c r="M199" s="87"/>
    </row>
    <row r="200" spans="1:13" ht="12.75">
      <c r="A200" s="122"/>
      <c r="B200" s="83"/>
      <c r="C200" s="83"/>
      <c r="D200" s="83"/>
      <c r="E200" s="83"/>
      <c r="F200" s="83"/>
      <c r="G200" s="83"/>
      <c r="H200" s="83"/>
      <c r="I200" s="83"/>
      <c r="J200" s="83"/>
      <c r="K200" s="83"/>
      <c r="L200" s="83"/>
      <c r="M200" s="87"/>
    </row>
    <row r="201" spans="1:13" ht="12.75">
      <c r="A201" s="122"/>
      <c r="B201" s="83"/>
      <c r="C201" s="83"/>
      <c r="D201" s="83"/>
      <c r="E201" s="83"/>
      <c r="F201" s="83"/>
      <c r="G201" s="83"/>
      <c r="H201" s="83"/>
      <c r="I201" s="83"/>
      <c r="J201" s="83"/>
      <c r="K201" s="83"/>
      <c r="L201" s="83"/>
      <c r="M201" s="87"/>
    </row>
    <row r="202" spans="1:13" ht="12.75">
      <c r="A202" s="122"/>
      <c r="B202" s="83"/>
      <c r="C202" s="83"/>
      <c r="D202" s="83"/>
      <c r="E202" s="83"/>
      <c r="F202" s="83"/>
      <c r="G202" s="83"/>
      <c r="H202" s="83"/>
      <c r="I202" s="83"/>
      <c r="J202" s="83"/>
      <c r="K202" s="83"/>
      <c r="L202" s="83"/>
      <c r="M202" s="87"/>
    </row>
    <row r="203" spans="1:13" ht="12.75">
      <c r="A203" s="122"/>
      <c r="B203" s="83"/>
      <c r="C203" s="83"/>
      <c r="D203" s="83"/>
      <c r="E203" s="83"/>
      <c r="F203" s="83"/>
      <c r="G203" s="83"/>
      <c r="H203" s="83"/>
      <c r="I203" s="83"/>
      <c r="J203" s="83"/>
      <c r="K203" s="83"/>
      <c r="L203" s="83"/>
      <c r="M203" s="87"/>
    </row>
    <row r="204" spans="1:13" ht="12.75">
      <c r="A204" s="122"/>
      <c r="B204" s="83"/>
      <c r="C204" s="83"/>
      <c r="D204" s="83"/>
      <c r="E204" s="83"/>
      <c r="F204" s="83"/>
      <c r="G204" s="83"/>
      <c r="H204" s="83"/>
      <c r="I204" s="83"/>
      <c r="J204" s="83"/>
      <c r="K204" s="83"/>
      <c r="L204" s="83"/>
      <c r="M204" s="87"/>
    </row>
    <row r="205" spans="1:13" ht="12.75">
      <c r="A205" s="122"/>
      <c r="B205" s="83"/>
      <c r="C205" s="83"/>
      <c r="D205" s="68"/>
      <c r="E205" s="68"/>
      <c r="F205" s="68"/>
      <c r="G205" s="68"/>
      <c r="H205" s="68"/>
      <c r="I205" s="68"/>
      <c r="J205" s="68"/>
      <c r="K205" s="68"/>
      <c r="L205" s="68"/>
      <c r="M205" s="87"/>
    </row>
    <row r="206" spans="1:13" ht="12.75">
      <c r="A206" s="122"/>
      <c r="B206" s="83"/>
      <c r="C206" s="83"/>
      <c r="D206" s="68"/>
      <c r="E206" s="68"/>
      <c r="F206" s="68"/>
      <c r="G206" s="68"/>
      <c r="H206" s="68"/>
      <c r="I206" s="68"/>
      <c r="J206" s="68"/>
      <c r="K206" s="68"/>
      <c r="L206" s="68"/>
      <c r="M206" s="87"/>
    </row>
    <row r="207" spans="1:17" ht="12.75">
      <c r="A207" s="122"/>
      <c r="B207" s="83"/>
      <c r="C207" s="83"/>
      <c r="D207" s="68"/>
      <c r="E207" s="68"/>
      <c r="F207" s="68"/>
      <c r="G207" s="68"/>
      <c r="H207" s="68"/>
      <c r="I207" s="68"/>
      <c r="J207" s="68"/>
      <c r="K207" s="68"/>
      <c r="L207" s="68"/>
      <c r="M207" s="87"/>
      <c r="O207" s="40"/>
      <c r="P207" s="33"/>
      <c r="Q207" s="34"/>
    </row>
    <row r="208" spans="1:17" ht="12.75">
      <c r="A208" s="122"/>
      <c r="B208" s="83"/>
      <c r="C208" s="83"/>
      <c r="D208" s="68"/>
      <c r="E208" s="68"/>
      <c r="F208" s="68"/>
      <c r="G208" s="68"/>
      <c r="H208" s="68"/>
      <c r="I208" s="68"/>
      <c r="J208" s="68"/>
      <c r="K208" s="557" t="s">
        <v>139</v>
      </c>
      <c r="L208" s="556"/>
      <c r="M208" s="87"/>
      <c r="O208" s="41" t="s">
        <v>134</v>
      </c>
      <c r="P208" s="9" t="s">
        <v>136</v>
      </c>
      <c r="Q208" s="36" t="s">
        <v>135</v>
      </c>
    </row>
    <row r="209" spans="1:17" ht="12.75">
      <c r="A209" s="122"/>
      <c r="B209" s="83"/>
      <c r="C209" s="83"/>
      <c r="D209" s="83"/>
      <c r="E209" s="83"/>
      <c r="F209" s="83"/>
      <c r="G209" s="83"/>
      <c r="H209" s="83"/>
      <c r="I209" s="83"/>
      <c r="J209" s="83"/>
      <c r="K209" s="83"/>
      <c r="L209" s="83"/>
      <c r="M209" s="87"/>
      <c r="O209" s="41"/>
      <c r="P209" s="42">
        <f>P210-2</f>
        <v>50.8</v>
      </c>
      <c r="Q209" s="43">
        <v>1.2</v>
      </c>
    </row>
    <row r="210" spans="1:17" ht="12.75">
      <c r="A210" s="122"/>
      <c r="B210" s="83"/>
      <c r="C210" s="83"/>
      <c r="D210" s="83"/>
      <c r="E210" s="83"/>
      <c r="F210" s="83"/>
      <c r="G210" s="83"/>
      <c r="H210" s="83"/>
      <c r="I210" s="83"/>
      <c r="J210" s="83"/>
      <c r="K210" s="558" t="s">
        <v>141</v>
      </c>
      <c r="L210" s="560">
        <f>(MIN(G159:G163))/100</f>
        <v>1.001</v>
      </c>
      <c r="M210" s="561" t="s">
        <v>23</v>
      </c>
      <c r="O210" s="41" t="s">
        <v>131</v>
      </c>
      <c r="P210" s="44">
        <f>MIN(M159:M160)</f>
        <v>52.8</v>
      </c>
      <c r="Q210" s="45">
        <f>K141</f>
        <v>1.5341166646785163</v>
      </c>
    </row>
    <row r="211" spans="1:17" ht="12.75">
      <c r="A211" s="122"/>
      <c r="B211" s="83"/>
      <c r="C211" s="83"/>
      <c r="D211" s="83"/>
      <c r="E211" s="83"/>
      <c r="F211" s="83"/>
      <c r="G211" s="83"/>
      <c r="H211" s="83"/>
      <c r="I211" s="83"/>
      <c r="J211" s="83"/>
      <c r="K211" s="9"/>
      <c r="L211" s="9"/>
      <c r="M211" s="76"/>
      <c r="O211" s="41" t="s">
        <v>132</v>
      </c>
      <c r="P211" s="44">
        <f>MIN(J159:J160)</f>
        <v>72.9</v>
      </c>
      <c r="Q211" s="45">
        <f>H141</f>
        <v>1.6226045791069041</v>
      </c>
    </row>
    <row r="212" spans="1:17" ht="12.75">
      <c r="A212" s="122"/>
      <c r="B212" s="83"/>
      <c r="C212" s="83"/>
      <c r="D212" s="83"/>
      <c r="E212" s="83"/>
      <c r="F212" s="83"/>
      <c r="G212" s="83"/>
      <c r="H212" s="83"/>
      <c r="I212" s="83"/>
      <c r="J212" s="83"/>
      <c r="K212" s="9"/>
      <c r="L212" s="9"/>
      <c r="M212" s="76"/>
      <c r="O212" s="41" t="s">
        <v>133</v>
      </c>
      <c r="P212" s="44">
        <f>MIN(G159:G160)</f>
        <v>100.1</v>
      </c>
      <c r="Q212" s="45">
        <f>E141</f>
        <v>1.7181270577671355</v>
      </c>
    </row>
    <row r="213" spans="1:17" ht="12.75">
      <c r="A213" s="122"/>
      <c r="B213" s="83"/>
      <c r="C213" s="83"/>
      <c r="D213" s="83"/>
      <c r="E213" s="83"/>
      <c r="F213" s="83"/>
      <c r="G213" s="83"/>
      <c r="H213" s="83"/>
      <c r="I213" s="83"/>
      <c r="J213" s="83"/>
      <c r="K213" s="83"/>
      <c r="L213" s="83"/>
      <c r="M213" s="87"/>
      <c r="O213" s="46"/>
      <c r="P213" s="47">
        <f>P212+2</f>
        <v>102.1</v>
      </c>
      <c r="Q213" s="48">
        <v>2.2</v>
      </c>
    </row>
    <row r="214" spans="1:13" ht="12.75">
      <c r="A214" s="122"/>
      <c r="B214" s="83"/>
      <c r="C214" s="83"/>
      <c r="D214" s="83"/>
      <c r="E214" s="83"/>
      <c r="F214" s="83"/>
      <c r="G214" s="83"/>
      <c r="H214" s="83"/>
      <c r="I214" s="83"/>
      <c r="J214" s="83"/>
      <c r="K214" s="557" t="s">
        <v>140</v>
      </c>
      <c r="L214" s="557"/>
      <c r="M214" s="87"/>
    </row>
    <row r="215" spans="1:13" ht="12.75">
      <c r="A215" s="122"/>
      <c r="B215" s="83"/>
      <c r="C215" s="83"/>
      <c r="D215" s="83"/>
      <c r="E215" s="83"/>
      <c r="F215" s="83"/>
      <c r="G215" s="83"/>
      <c r="H215" s="83"/>
      <c r="I215" s="83"/>
      <c r="J215" s="83"/>
      <c r="K215" s="83"/>
      <c r="L215" s="83"/>
      <c r="M215" s="87"/>
    </row>
    <row r="216" spans="1:16" ht="12.75">
      <c r="A216" s="122"/>
      <c r="B216" s="83"/>
      <c r="C216" s="83"/>
      <c r="D216" s="83"/>
      <c r="E216" s="83"/>
      <c r="F216" s="83"/>
      <c r="G216" s="83"/>
      <c r="H216" s="83"/>
      <c r="I216" s="83"/>
      <c r="J216" s="83"/>
      <c r="K216" s="558" t="s">
        <v>141</v>
      </c>
      <c r="L216" s="560">
        <f>L210*0.95</f>
        <v>0.9509499999999999</v>
      </c>
      <c r="M216" s="561" t="s">
        <v>23</v>
      </c>
      <c r="O216" s="40" t="s">
        <v>137</v>
      </c>
      <c r="P216" s="34"/>
    </row>
    <row r="217" spans="1:16" ht="12.75">
      <c r="A217" s="122"/>
      <c r="B217" s="83"/>
      <c r="C217" s="83"/>
      <c r="D217" s="83"/>
      <c r="E217" s="83"/>
      <c r="F217" s="83"/>
      <c r="G217" s="83"/>
      <c r="H217" s="83"/>
      <c r="I217" s="83"/>
      <c r="J217" s="83"/>
      <c r="K217" s="9"/>
      <c r="L217" s="9"/>
      <c r="M217" s="76"/>
      <c r="O217" s="41"/>
      <c r="P217" s="36"/>
    </row>
    <row r="218" spans="1:17" ht="12.75">
      <c r="A218" s="122"/>
      <c r="B218" s="83"/>
      <c r="C218" s="83"/>
      <c r="D218" s="83"/>
      <c r="E218" s="83"/>
      <c r="F218" s="83"/>
      <c r="G218" s="83"/>
      <c r="H218" s="83"/>
      <c r="I218" s="83"/>
      <c r="J218" s="83"/>
      <c r="K218" s="83"/>
      <c r="L218" s="83"/>
      <c r="M218" s="87"/>
      <c r="O218" s="49">
        <f>P209-1</f>
        <v>49.8</v>
      </c>
      <c r="P218" s="45">
        <f>J120/1000</f>
        <v>0.0017230000000000001</v>
      </c>
      <c r="Q218" s="170">
        <v>2</v>
      </c>
    </row>
    <row r="219" spans="1:16" ht="12.75">
      <c r="A219" s="122"/>
      <c r="B219" s="83"/>
      <c r="C219" s="83"/>
      <c r="D219" s="83"/>
      <c r="E219" s="83"/>
      <c r="F219" s="83"/>
      <c r="G219" s="83"/>
      <c r="H219" s="83"/>
      <c r="I219" s="83"/>
      <c r="J219" s="83"/>
      <c r="K219" s="559" t="s">
        <v>168</v>
      </c>
      <c r="L219" s="562">
        <f>(G150+J150+M150)/3</f>
        <v>1.0633292978542674</v>
      </c>
      <c r="M219" s="87"/>
      <c r="O219" s="49">
        <f>P213+1</f>
        <v>103.1</v>
      </c>
      <c r="P219" s="45">
        <f>P218</f>
        <v>0.0017230000000000001</v>
      </c>
    </row>
    <row r="220" spans="1:16" ht="12.75">
      <c r="A220" s="122"/>
      <c r="B220" s="83"/>
      <c r="C220" s="83"/>
      <c r="D220" s="83"/>
      <c r="E220" s="83"/>
      <c r="F220" s="83"/>
      <c r="G220" s="83"/>
      <c r="H220" s="83"/>
      <c r="I220" s="83"/>
      <c r="J220" s="83"/>
      <c r="K220" s="83"/>
      <c r="L220" s="83"/>
      <c r="M220" s="87"/>
      <c r="O220" s="41"/>
      <c r="P220" s="36"/>
    </row>
    <row r="221" spans="1:16" ht="13.5" thickBot="1">
      <c r="A221" s="128"/>
      <c r="B221" s="123"/>
      <c r="C221" s="123"/>
      <c r="D221" s="123"/>
      <c r="E221" s="570" t="s">
        <v>201</v>
      </c>
      <c r="F221" s="555">
        <v>1</v>
      </c>
      <c r="G221" s="123"/>
      <c r="H221" s="123"/>
      <c r="I221" s="123"/>
      <c r="J221" s="123"/>
      <c r="K221" s="123"/>
      <c r="L221" s="123"/>
      <c r="M221" s="124"/>
      <c r="O221" s="41" t="s">
        <v>138</v>
      </c>
      <c r="P221" s="36"/>
    </row>
    <row r="222" spans="1:16" ht="13.5" thickBot="1">
      <c r="A222" s="637" t="s">
        <v>237</v>
      </c>
      <c r="B222" s="638"/>
      <c r="C222" s="638"/>
      <c r="D222" s="638"/>
      <c r="E222" s="638"/>
      <c r="F222" s="638"/>
      <c r="G222" s="638"/>
      <c r="H222" s="638"/>
      <c r="I222" s="638"/>
      <c r="J222" s="638"/>
      <c r="K222" s="638"/>
      <c r="L222" s="638"/>
      <c r="M222" s="639"/>
      <c r="O222" s="41"/>
      <c r="P222" s="36"/>
    </row>
    <row r="223" spans="1:16" ht="13.5" thickTop="1">
      <c r="A223" s="723" t="s">
        <v>2</v>
      </c>
      <c r="B223" s="724"/>
      <c r="C223" s="725"/>
      <c r="D223" s="177" t="s">
        <v>3</v>
      </c>
      <c r="E223" s="9"/>
      <c r="F223" s="9"/>
      <c r="G223" s="9"/>
      <c r="H223" s="9"/>
      <c r="I223" s="9"/>
      <c r="J223" s="9"/>
      <c r="K223" s="9"/>
      <c r="L223" s="9"/>
      <c r="M223" s="76"/>
      <c r="O223" s="49">
        <f>O218</f>
        <v>49.8</v>
      </c>
      <c r="P223" s="45">
        <f>0.95*P218</f>
        <v>0.00163685</v>
      </c>
    </row>
    <row r="224" spans="1:16" ht="12.75">
      <c r="A224" s="726" t="s">
        <v>1</v>
      </c>
      <c r="B224" s="727"/>
      <c r="C224" s="728"/>
      <c r="D224" s="178" t="s">
        <v>208</v>
      </c>
      <c r="E224" s="12"/>
      <c r="F224" s="9"/>
      <c r="G224" s="9"/>
      <c r="H224" s="9"/>
      <c r="I224" s="9"/>
      <c r="J224" s="9"/>
      <c r="K224" s="9"/>
      <c r="L224" s="9"/>
      <c r="M224" s="76"/>
      <c r="O224" s="50">
        <f>O219</f>
        <v>103.1</v>
      </c>
      <c r="P224" s="51">
        <f>0.95*P219</f>
        <v>0.00163685</v>
      </c>
    </row>
    <row r="225" spans="1:13" ht="13.5" thickBot="1">
      <c r="A225" s="729" t="s">
        <v>4</v>
      </c>
      <c r="B225" s="730"/>
      <c r="C225" s="731"/>
      <c r="D225" s="456" t="s">
        <v>67</v>
      </c>
      <c r="E225" s="6"/>
      <c r="F225" s="12"/>
      <c r="G225" s="9"/>
      <c r="H225" s="9"/>
      <c r="I225" s="9"/>
      <c r="J225" s="9"/>
      <c r="K225" s="9"/>
      <c r="L225" s="9"/>
      <c r="M225" s="76"/>
    </row>
    <row r="226" spans="1:13" ht="13.5" thickTop="1">
      <c r="A226" s="82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76"/>
    </row>
    <row r="227" spans="1:13" ht="13.5" thickBot="1">
      <c r="A227" s="82"/>
      <c r="B227" s="9"/>
      <c r="C227" s="9"/>
      <c r="D227" s="716" t="s">
        <v>78</v>
      </c>
      <c r="E227" s="716"/>
      <c r="F227" s="716"/>
      <c r="G227" s="716"/>
      <c r="H227" s="716"/>
      <c r="I227" s="716"/>
      <c r="J227" s="716"/>
      <c r="K227" s="9"/>
      <c r="L227" s="9"/>
      <c r="M227" s="76"/>
    </row>
    <row r="228" spans="1:13" ht="14.25" thickBot="1">
      <c r="A228" s="82"/>
      <c r="B228" s="9"/>
      <c r="C228" s="9"/>
      <c r="D228" s="307" t="s">
        <v>79</v>
      </c>
      <c r="E228" s="307" t="s">
        <v>80</v>
      </c>
      <c r="F228" s="307" t="s">
        <v>81</v>
      </c>
      <c r="G228" s="717" t="s">
        <v>115</v>
      </c>
      <c r="H228" s="718"/>
      <c r="I228" s="457" t="s">
        <v>100</v>
      </c>
      <c r="J228" s="308" t="s">
        <v>99</v>
      </c>
      <c r="K228" s="9"/>
      <c r="L228" s="9"/>
      <c r="M228" s="76"/>
    </row>
    <row r="229" spans="1:13" ht="13.5" thickBot="1">
      <c r="A229" s="82"/>
      <c r="B229" s="9"/>
      <c r="C229" s="9"/>
      <c r="D229" s="571">
        <v>3</v>
      </c>
      <c r="E229" s="573">
        <f>limites!F134</f>
        <v>36.15958141370912</v>
      </c>
      <c r="F229" s="574">
        <f>limites!F135</f>
        <v>26.799622904087478</v>
      </c>
      <c r="G229" s="720" t="s">
        <v>213</v>
      </c>
      <c r="H229" s="721"/>
      <c r="I229" s="573">
        <f>compactacion!F149</f>
        <v>17.5</v>
      </c>
      <c r="J229" s="572">
        <f>compactacion!F148</f>
        <v>1.755</v>
      </c>
      <c r="K229" s="9"/>
      <c r="L229" s="9"/>
      <c r="M229" s="76"/>
    </row>
    <row r="230" spans="1:13" ht="12.75">
      <c r="A230" s="82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76"/>
    </row>
    <row r="231" spans="1:13" ht="13.5" thickBot="1">
      <c r="A231" s="82"/>
      <c r="B231" s="9"/>
      <c r="C231" s="9"/>
      <c r="D231" s="722" t="s">
        <v>101</v>
      </c>
      <c r="E231" s="722"/>
      <c r="F231" s="722"/>
      <c r="G231" s="722"/>
      <c r="H231" s="722"/>
      <c r="I231" s="722"/>
      <c r="J231" s="722"/>
      <c r="K231" s="9"/>
      <c r="L231" s="9"/>
      <c r="M231" s="76"/>
    </row>
    <row r="232" spans="1:13" ht="13.5" thickTop="1">
      <c r="A232" s="463" t="s">
        <v>142</v>
      </c>
      <c r="B232" s="464"/>
      <c r="C232" s="465"/>
      <c r="D232" s="466"/>
      <c r="E232" s="683">
        <v>13</v>
      </c>
      <c r="F232" s="684"/>
      <c r="G232" s="686"/>
      <c r="H232" s="683">
        <v>15</v>
      </c>
      <c r="I232" s="684"/>
      <c r="J232" s="686"/>
      <c r="K232" s="683">
        <v>18</v>
      </c>
      <c r="L232" s="684"/>
      <c r="M232" s="685"/>
    </row>
    <row r="233" spans="1:13" ht="12.75">
      <c r="A233" s="467" t="s">
        <v>143</v>
      </c>
      <c r="B233" s="468"/>
      <c r="C233" s="469"/>
      <c r="D233" s="470"/>
      <c r="E233" s="687">
        <v>5</v>
      </c>
      <c r="F233" s="688"/>
      <c r="G233" s="689"/>
      <c r="H233" s="687">
        <v>5</v>
      </c>
      <c r="I233" s="688"/>
      <c r="J233" s="689"/>
      <c r="K233" s="687">
        <v>5</v>
      </c>
      <c r="L233" s="688"/>
      <c r="M233" s="719"/>
    </row>
    <row r="234" spans="1:13" ht="12.75">
      <c r="A234" s="471" t="s">
        <v>144</v>
      </c>
      <c r="B234" s="472"/>
      <c r="C234" s="473"/>
      <c r="D234" s="474"/>
      <c r="E234" s="710">
        <v>56</v>
      </c>
      <c r="F234" s="711"/>
      <c r="G234" s="712"/>
      <c r="H234" s="710">
        <v>25</v>
      </c>
      <c r="I234" s="711"/>
      <c r="J234" s="712"/>
      <c r="K234" s="710">
        <v>12</v>
      </c>
      <c r="L234" s="711"/>
      <c r="M234" s="713"/>
    </row>
    <row r="235" spans="1:13" ht="12.75">
      <c r="A235" s="475" t="s">
        <v>145</v>
      </c>
      <c r="B235" s="476"/>
      <c r="C235" s="477"/>
      <c r="D235" s="478"/>
      <c r="E235" s="714" t="s">
        <v>83</v>
      </c>
      <c r="F235" s="715"/>
      <c r="G235" s="480" t="s">
        <v>116</v>
      </c>
      <c r="H235" s="714" t="s">
        <v>83</v>
      </c>
      <c r="I235" s="715"/>
      <c r="J235" s="480" t="s">
        <v>116</v>
      </c>
      <c r="K235" s="714" t="s">
        <v>83</v>
      </c>
      <c r="L235" s="715"/>
      <c r="M235" s="481" t="s">
        <v>116</v>
      </c>
    </row>
    <row r="236" spans="1:13" ht="12.75">
      <c r="A236" s="482" t="s">
        <v>146</v>
      </c>
      <c r="B236" s="483"/>
      <c r="C236" s="484"/>
      <c r="D236" s="485"/>
      <c r="E236" s="708">
        <v>8530</v>
      </c>
      <c r="F236" s="709"/>
      <c r="G236" s="487">
        <v>8518</v>
      </c>
      <c r="H236" s="708">
        <v>8271</v>
      </c>
      <c r="I236" s="709"/>
      <c r="J236" s="487">
        <v>8348</v>
      </c>
      <c r="K236" s="708">
        <v>8150</v>
      </c>
      <c r="L236" s="709"/>
      <c r="M236" s="488">
        <v>8163</v>
      </c>
    </row>
    <row r="237" spans="1:13" ht="12.75">
      <c r="A237" s="467" t="s">
        <v>147</v>
      </c>
      <c r="B237" s="468"/>
      <c r="C237" s="469"/>
      <c r="D237" s="470"/>
      <c r="E237" s="688">
        <v>4184</v>
      </c>
      <c r="F237" s="689"/>
      <c r="G237" s="489">
        <v>4184</v>
      </c>
      <c r="H237" s="687">
        <v>4157</v>
      </c>
      <c r="I237" s="689"/>
      <c r="J237" s="489">
        <v>4157</v>
      </c>
      <c r="K237" s="687">
        <v>4137</v>
      </c>
      <c r="L237" s="689"/>
      <c r="M237" s="490">
        <v>4137</v>
      </c>
    </row>
    <row r="238" spans="1:13" ht="12.75">
      <c r="A238" s="467" t="s">
        <v>153</v>
      </c>
      <c r="B238" s="468"/>
      <c r="C238" s="469"/>
      <c r="D238" s="470"/>
      <c r="E238" s="701">
        <f>E236-E237</f>
        <v>4346</v>
      </c>
      <c r="F238" s="702"/>
      <c r="G238" s="489">
        <f>G236-G237</f>
        <v>4334</v>
      </c>
      <c r="H238" s="701">
        <f>H236-H237</f>
        <v>4114</v>
      </c>
      <c r="I238" s="702"/>
      <c r="J238" s="489">
        <f>J236-J237</f>
        <v>4191</v>
      </c>
      <c r="K238" s="701">
        <f>K236-K237</f>
        <v>4013</v>
      </c>
      <c r="L238" s="702"/>
      <c r="M238" s="490">
        <f>M236-M237</f>
        <v>4026</v>
      </c>
    </row>
    <row r="239" spans="1:13" ht="12.75">
      <c r="A239" s="467" t="s">
        <v>148</v>
      </c>
      <c r="B239" s="468"/>
      <c r="C239" s="469"/>
      <c r="D239" s="470"/>
      <c r="E239" s="701">
        <v>2112</v>
      </c>
      <c r="F239" s="689"/>
      <c r="G239" s="491">
        <v>2112</v>
      </c>
      <c r="H239" s="703">
        <v>2112</v>
      </c>
      <c r="I239" s="689"/>
      <c r="J239" s="491">
        <v>2112</v>
      </c>
      <c r="K239" s="703">
        <v>2123</v>
      </c>
      <c r="L239" s="689"/>
      <c r="M239" s="492">
        <v>2123</v>
      </c>
    </row>
    <row r="240" spans="1:13" ht="13.5">
      <c r="A240" s="471" t="s">
        <v>166</v>
      </c>
      <c r="B240" s="472"/>
      <c r="C240" s="473"/>
      <c r="D240" s="474"/>
      <c r="E240" s="704">
        <f>E238/E239</f>
        <v>2.0577651515151514</v>
      </c>
      <c r="F240" s="705"/>
      <c r="G240" s="493">
        <f>G238/G239</f>
        <v>2.0520833333333335</v>
      </c>
      <c r="H240" s="704">
        <f>H238/H239</f>
        <v>1.9479166666666667</v>
      </c>
      <c r="I240" s="705"/>
      <c r="J240" s="493">
        <f>J238/J239</f>
        <v>1.984375</v>
      </c>
      <c r="K240" s="704">
        <f>K238/K239</f>
        <v>1.8902496467263306</v>
      </c>
      <c r="L240" s="705"/>
      <c r="M240" s="494">
        <f>M238/M239</f>
        <v>1.8963730569948187</v>
      </c>
    </row>
    <row r="241" spans="1:13" ht="12.75">
      <c r="A241" s="475" t="s">
        <v>149</v>
      </c>
      <c r="B241" s="476"/>
      <c r="C241" s="477"/>
      <c r="D241" s="478"/>
      <c r="E241" s="479" t="s">
        <v>82</v>
      </c>
      <c r="F241" s="495" t="s">
        <v>117</v>
      </c>
      <c r="G241" s="495" t="s">
        <v>129</v>
      </c>
      <c r="H241" s="495" t="s">
        <v>82</v>
      </c>
      <c r="I241" s="495" t="s">
        <v>117</v>
      </c>
      <c r="J241" s="495" t="s">
        <v>129</v>
      </c>
      <c r="K241" s="495" t="s">
        <v>82</v>
      </c>
      <c r="L241" s="495" t="s">
        <v>117</v>
      </c>
      <c r="M241" s="496" t="s">
        <v>129</v>
      </c>
    </row>
    <row r="242" spans="1:13" ht="12.75">
      <c r="A242" s="482" t="s">
        <v>154</v>
      </c>
      <c r="B242" s="483"/>
      <c r="C242" s="484"/>
      <c r="D242" s="485"/>
      <c r="E242" s="486" t="s">
        <v>177</v>
      </c>
      <c r="F242" s="487"/>
      <c r="G242" s="487" t="s">
        <v>174</v>
      </c>
      <c r="H242" s="487" t="s">
        <v>203</v>
      </c>
      <c r="I242" s="487"/>
      <c r="J242" s="487" t="s">
        <v>178</v>
      </c>
      <c r="K242" s="487" t="s">
        <v>179</v>
      </c>
      <c r="L242" s="487"/>
      <c r="M242" s="488" t="s">
        <v>172</v>
      </c>
    </row>
    <row r="243" spans="1:13" ht="12.75">
      <c r="A243" s="467" t="s">
        <v>155</v>
      </c>
      <c r="B243" s="468"/>
      <c r="C243" s="469"/>
      <c r="D243" s="470"/>
      <c r="E243" s="497">
        <v>135.9</v>
      </c>
      <c r="F243" s="497"/>
      <c r="G243" s="498">
        <v>167.9</v>
      </c>
      <c r="H243" s="498">
        <v>138</v>
      </c>
      <c r="I243" s="498"/>
      <c r="J243" s="498">
        <v>242.7</v>
      </c>
      <c r="K243" s="498">
        <v>145.2</v>
      </c>
      <c r="L243" s="498"/>
      <c r="M243" s="499">
        <v>192.1</v>
      </c>
    </row>
    <row r="244" spans="1:18" ht="12.75">
      <c r="A244" s="467" t="s">
        <v>156</v>
      </c>
      <c r="B244" s="468"/>
      <c r="C244" s="469"/>
      <c r="D244" s="470"/>
      <c r="E244" s="497">
        <v>126.5</v>
      </c>
      <c r="F244" s="498"/>
      <c r="G244" s="498">
        <v>150.2</v>
      </c>
      <c r="H244" s="498">
        <v>127.6</v>
      </c>
      <c r="I244" s="498"/>
      <c r="J244" s="498">
        <v>208</v>
      </c>
      <c r="K244" s="498">
        <v>136</v>
      </c>
      <c r="L244" s="498"/>
      <c r="M244" s="499">
        <v>167.5</v>
      </c>
      <c r="P244" s="10" t="s">
        <v>159</v>
      </c>
      <c r="Q244" s="10" t="s">
        <v>160</v>
      </c>
      <c r="R244" s="10" t="s">
        <v>161</v>
      </c>
    </row>
    <row r="245" spans="1:18" ht="12.75">
      <c r="A245" s="467" t="s">
        <v>150</v>
      </c>
      <c r="B245" s="468"/>
      <c r="C245" s="469"/>
      <c r="D245" s="470"/>
      <c r="E245" s="497">
        <f>E243-E244</f>
        <v>9.400000000000006</v>
      </c>
      <c r="F245" s="497"/>
      <c r="G245" s="498">
        <f>G243-G244</f>
        <v>17.700000000000017</v>
      </c>
      <c r="H245" s="497">
        <f>H243-H244</f>
        <v>10.400000000000006</v>
      </c>
      <c r="I245" s="497"/>
      <c r="J245" s="497">
        <f>J243-J244</f>
        <v>34.69999999999999</v>
      </c>
      <c r="K245" s="497">
        <f>K243-K244</f>
        <v>9.199999999999989</v>
      </c>
      <c r="L245" s="497"/>
      <c r="M245" s="500">
        <f>M243-M244</f>
        <v>24.599999999999994</v>
      </c>
      <c r="O245" s="10" t="s">
        <v>163</v>
      </c>
      <c r="P245" s="17">
        <v>11.52</v>
      </c>
      <c r="Q245" s="17">
        <v>11.53</v>
      </c>
      <c r="R245" s="17">
        <v>11.54</v>
      </c>
    </row>
    <row r="246" spans="1:18" ht="12.75">
      <c r="A246" s="467" t="s">
        <v>157</v>
      </c>
      <c r="B246" s="468"/>
      <c r="C246" s="469"/>
      <c r="D246" s="470"/>
      <c r="E246" s="497">
        <v>75.1</v>
      </c>
      <c r="F246" s="498"/>
      <c r="G246" s="498">
        <v>72.3</v>
      </c>
      <c r="H246" s="498">
        <v>70.4</v>
      </c>
      <c r="I246" s="498"/>
      <c r="J246" s="498">
        <v>73.5</v>
      </c>
      <c r="K246" s="498">
        <v>86.9</v>
      </c>
      <c r="L246" s="498"/>
      <c r="M246" s="499">
        <v>77.2</v>
      </c>
      <c r="O246" s="10" t="s">
        <v>162</v>
      </c>
      <c r="P246" s="17">
        <v>15</v>
      </c>
      <c r="Q246" s="17">
        <v>15.05</v>
      </c>
      <c r="R246" s="17">
        <v>15.1</v>
      </c>
    </row>
    <row r="247" spans="1:18" ht="12.75">
      <c r="A247" s="467" t="s">
        <v>151</v>
      </c>
      <c r="B247" s="468"/>
      <c r="C247" s="469"/>
      <c r="D247" s="470"/>
      <c r="E247" s="497">
        <f>E244-E246</f>
        <v>51.400000000000006</v>
      </c>
      <c r="F247" s="497"/>
      <c r="G247" s="498">
        <f>G244-G246</f>
        <v>77.89999999999999</v>
      </c>
      <c r="H247" s="497">
        <f>H244-H246</f>
        <v>57.19999999999999</v>
      </c>
      <c r="I247" s="497"/>
      <c r="J247" s="497">
        <f>J244-J246</f>
        <v>134.5</v>
      </c>
      <c r="K247" s="497">
        <f>K244-K246</f>
        <v>49.099999999999994</v>
      </c>
      <c r="L247" s="497"/>
      <c r="M247" s="500">
        <f>M244-M246</f>
        <v>90.3</v>
      </c>
      <c r="O247" s="10" t="s">
        <v>164</v>
      </c>
      <c r="P247" s="19">
        <f>(PI()*P246^2/4)*P245</f>
        <v>2035.7520395261859</v>
      </c>
      <c r="Q247" s="19">
        <f>(PI()*Q246^2/4)*Q245</f>
        <v>2051.125285731849</v>
      </c>
      <c r="R247" s="19">
        <f>(PI()*R246^2/4)*R245</f>
        <v>2066.56745062635</v>
      </c>
    </row>
    <row r="248" spans="1:18" ht="12.75">
      <c r="A248" s="467" t="s">
        <v>158</v>
      </c>
      <c r="B248" s="468"/>
      <c r="C248" s="469"/>
      <c r="D248" s="470"/>
      <c r="E248" s="497">
        <f>(E245/E247)*100</f>
        <v>18.28793774319067</v>
      </c>
      <c r="F248" s="497"/>
      <c r="G248" s="497">
        <f>(G245/G247)*100</f>
        <v>22.721437740693222</v>
      </c>
      <c r="H248" s="497">
        <f>H245*100/H247</f>
        <v>18.181818181818194</v>
      </c>
      <c r="I248" s="497"/>
      <c r="J248" s="497">
        <f>(J245/J247)*100</f>
        <v>25.799256505576203</v>
      </c>
      <c r="K248" s="497">
        <f>K245*100/K247</f>
        <v>18.737270875763727</v>
      </c>
      <c r="L248" s="497"/>
      <c r="M248" s="500">
        <f>(M245/M247)*100</f>
        <v>27.242524916943516</v>
      </c>
      <c r="Q248" s="26"/>
      <c r="R248" s="26"/>
    </row>
    <row r="249" spans="1:18" ht="12.75">
      <c r="A249" s="467" t="s">
        <v>152</v>
      </c>
      <c r="B249" s="468"/>
      <c r="C249" s="469"/>
      <c r="D249" s="470"/>
      <c r="E249" s="706">
        <f>AVERAGE(E248:F248)</f>
        <v>18.28793774319067</v>
      </c>
      <c r="F249" s="707"/>
      <c r="G249" s="498"/>
      <c r="H249" s="706">
        <f>AVERAGE(H248:I248)</f>
        <v>18.181818181818194</v>
      </c>
      <c r="I249" s="707"/>
      <c r="J249" s="498"/>
      <c r="K249" s="706">
        <f>AVERAGE(K248:L248)</f>
        <v>18.737270875763727</v>
      </c>
      <c r="L249" s="707"/>
      <c r="M249" s="499"/>
      <c r="O249" s="19"/>
      <c r="Q249" s="26"/>
      <c r="R249" s="26"/>
    </row>
    <row r="250" spans="1:18" ht="14.25" thickBot="1">
      <c r="A250" s="501" t="s">
        <v>167</v>
      </c>
      <c r="B250" s="502"/>
      <c r="C250" s="503"/>
      <c r="D250" s="504"/>
      <c r="E250" s="677">
        <f>(E240*100/(E249+100))</f>
        <v>1.7396238287480061</v>
      </c>
      <c r="F250" s="678"/>
      <c r="G250" s="505"/>
      <c r="H250" s="677">
        <f>(H240*100/(H249+100))</f>
        <v>1.6482371794871795</v>
      </c>
      <c r="I250" s="678"/>
      <c r="J250" s="505"/>
      <c r="K250" s="677">
        <f>(K240*100/(K249+100))</f>
        <v>1.591959822543102</v>
      </c>
      <c r="L250" s="678"/>
      <c r="M250" s="506"/>
      <c r="Q250" s="26"/>
      <c r="R250" s="26"/>
    </row>
    <row r="251" spans="1:18" ht="13.5" thickTop="1">
      <c r="A251" s="114"/>
      <c r="B251" s="26"/>
      <c r="C251" s="26"/>
      <c r="D251" s="26"/>
      <c r="E251" s="27"/>
      <c r="F251" s="27"/>
      <c r="G251" s="26"/>
      <c r="H251" s="27"/>
      <c r="I251" s="27"/>
      <c r="J251" s="26"/>
      <c r="K251" s="27"/>
      <c r="L251" s="27"/>
      <c r="M251" s="115"/>
      <c r="Q251" s="26"/>
      <c r="R251" s="26"/>
    </row>
    <row r="252" spans="1:18" ht="12.75">
      <c r="A252" s="114"/>
      <c r="B252" s="26"/>
      <c r="C252" s="26"/>
      <c r="D252" s="26"/>
      <c r="E252" s="27"/>
      <c r="F252" s="27"/>
      <c r="G252" s="26"/>
      <c r="H252" s="27"/>
      <c r="I252" s="27"/>
      <c r="J252" s="26"/>
      <c r="K252" s="27"/>
      <c r="L252" s="27"/>
      <c r="M252" s="115"/>
      <c r="Q252" s="26"/>
      <c r="R252" s="26"/>
    </row>
    <row r="253" spans="1:18" ht="13.5" thickBot="1">
      <c r="A253" s="692" t="s">
        <v>90</v>
      </c>
      <c r="B253" s="693"/>
      <c r="C253" s="693"/>
      <c r="D253" s="693"/>
      <c r="E253" s="693"/>
      <c r="F253" s="693"/>
      <c r="G253" s="693"/>
      <c r="H253" s="693"/>
      <c r="I253" s="693"/>
      <c r="J253" s="693"/>
      <c r="K253" s="693"/>
      <c r="L253" s="693"/>
      <c r="M253" s="694"/>
      <c r="Q253" s="26"/>
      <c r="R253" s="26"/>
    </row>
    <row r="254" spans="1:18" ht="13.5" thickTop="1">
      <c r="A254" s="671" t="s">
        <v>84</v>
      </c>
      <c r="B254" s="672"/>
      <c r="C254" s="672" t="s">
        <v>85</v>
      </c>
      <c r="D254" s="523" t="s">
        <v>86</v>
      </c>
      <c r="E254" s="675" t="s">
        <v>87</v>
      </c>
      <c r="F254" s="675"/>
      <c r="G254" s="675"/>
      <c r="H254" s="675" t="s">
        <v>118</v>
      </c>
      <c r="I254" s="675"/>
      <c r="J254" s="675"/>
      <c r="K254" s="675" t="s">
        <v>119</v>
      </c>
      <c r="L254" s="675"/>
      <c r="M254" s="676"/>
      <c r="Q254" s="26"/>
      <c r="R254" s="26"/>
    </row>
    <row r="255" spans="1:18" ht="12.75">
      <c r="A255" s="673"/>
      <c r="B255" s="674"/>
      <c r="C255" s="674"/>
      <c r="D255" s="524" t="s">
        <v>127</v>
      </c>
      <c r="E255" s="524" t="s">
        <v>88</v>
      </c>
      <c r="F255" s="669" t="s">
        <v>90</v>
      </c>
      <c r="G255" s="669"/>
      <c r="H255" s="524" t="s">
        <v>88</v>
      </c>
      <c r="I255" s="669" t="s">
        <v>90</v>
      </c>
      <c r="J255" s="669"/>
      <c r="K255" s="524" t="s">
        <v>88</v>
      </c>
      <c r="L255" s="669" t="s">
        <v>90</v>
      </c>
      <c r="M255" s="670"/>
      <c r="Q255" s="26"/>
      <c r="R255" s="26"/>
    </row>
    <row r="256" spans="1:18" ht="12.75">
      <c r="A256" s="673"/>
      <c r="B256" s="674"/>
      <c r="C256" s="674"/>
      <c r="D256" s="524" t="s">
        <v>128</v>
      </c>
      <c r="E256" s="524" t="s">
        <v>89</v>
      </c>
      <c r="F256" s="524" t="s">
        <v>91</v>
      </c>
      <c r="G256" s="524" t="s">
        <v>23</v>
      </c>
      <c r="H256" s="524" t="s">
        <v>89</v>
      </c>
      <c r="I256" s="524" t="s">
        <v>91</v>
      </c>
      <c r="J256" s="524" t="s">
        <v>23</v>
      </c>
      <c r="K256" s="524" t="s">
        <v>89</v>
      </c>
      <c r="L256" s="524" t="s">
        <v>91</v>
      </c>
      <c r="M256" s="525" t="s">
        <v>23</v>
      </c>
      <c r="Q256" s="26"/>
      <c r="R256" s="26"/>
    </row>
    <row r="257" spans="1:18" ht="13.5" thickBot="1">
      <c r="A257" s="699">
        <v>39232</v>
      </c>
      <c r="B257" s="700"/>
      <c r="C257" s="515">
        <v>0.3958333333333333</v>
      </c>
      <c r="D257" s="696">
        <v>4</v>
      </c>
      <c r="E257" s="516">
        <v>0.52</v>
      </c>
      <c r="F257" s="517">
        <f>E257*2.54</f>
        <v>1.3208</v>
      </c>
      <c r="G257" s="519"/>
      <c r="H257" s="516">
        <v>0.501</v>
      </c>
      <c r="I257" s="517">
        <f>H257*2.54</f>
        <v>1.27254</v>
      </c>
      <c r="J257" s="517"/>
      <c r="K257" s="516">
        <v>0.116</v>
      </c>
      <c r="L257" s="517">
        <f>K257*2.54</f>
        <v>0.29464</v>
      </c>
      <c r="M257" s="518"/>
      <c r="Q257" s="26"/>
      <c r="R257" s="26"/>
    </row>
    <row r="258" spans="1:18" ht="13.5" thickTop="1">
      <c r="A258" s="699"/>
      <c r="B258" s="700"/>
      <c r="C258" s="515"/>
      <c r="D258" s="697"/>
      <c r="E258" s="516"/>
      <c r="F258" s="517"/>
      <c r="G258" s="517"/>
      <c r="H258" s="516"/>
      <c r="I258" s="517"/>
      <c r="J258" s="517"/>
      <c r="K258" s="516"/>
      <c r="L258" s="517"/>
      <c r="M258" s="518"/>
      <c r="Q258" s="26"/>
      <c r="R258" s="26"/>
    </row>
    <row r="259" spans="1:18" ht="13.5" thickBot="1">
      <c r="A259" s="699">
        <v>39263</v>
      </c>
      <c r="B259" s="700"/>
      <c r="C259" s="515">
        <f>C257</f>
        <v>0.3958333333333333</v>
      </c>
      <c r="D259" s="698"/>
      <c r="E259" s="527">
        <v>0.57</v>
      </c>
      <c r="F259" s="528">
        <f>E259*2.54</f>
        <v>1.4478</v>
      </c>
      <c r="G259" s="519">
        <f>(F259-F257)*100/P245</f>
        <v>1.1024305555555556</v>
      </c>
      <c r="H259" s="527">
        <v>0.57</v>
      </c>
      <c r="I259" s="528">
        <f>H259*2.54</f>
        <v>1.4478</v>
      </c>
      <c r="J259" s="519">
        <f>(I259-I257)*100/Q245</f>
        <v>1.5200346921075454</v>
      </c>
      <c r="K259" s="527">
        <v>0.2</v>
      </c>
      <c r="L259" s="528">
        <f>K259*2.54</f>
        <v>0.508</v>
      </c>
      <c r="M259" s="529">
        <f>(L259-L257)*100/R245</f>
        <v>1.8488734835355285</v>
      </c>
      <c r="Q259" s="26"/>
      <c r="R259" s="26"/>
    </row>
    <row r="260" spans="1:13" ht="13.5" thickTop="1">
      <c r="A260" s="116"/>
      <c r="B260" s="57"/>
      <c r="C260" s="58"/>
      <c r="D260" s="30"/>
      <c r="E260" s="28"/>
      <c r="F260" s="30"/>
      <c r="G260" s="29"/>
      <c r="H260" s="28"/>
      <c r="I260" s="30"/>
      <c r="J260" s="29"/>
      <c r="K260" s="28"/>
      <c r="L260" s="30"/>
      <c r="M260" s="117"/>
    </row>
    <row r="261" spans="1:13" ht="12.75">
      <c r="A261" s="114"/>
      <c r="B261" s="26"/>
      <c r="C261" s="26"/>
      <c r="D261" s="26"/>
      <c r="E261" s="26"/>
      <c r="F261" s="26"/>
      <c r="G261" s="9"/>
      <c r="H261" s="9"/>
      <c r="I261" s="26"/>
      <c r="J261" s="26"/>
      <c r="K261" s="26"/>
      <c r="L261" s="26"/>
      <c r="M261" s="115"/>
    </row>
    <row r="262" spans="1:13" ht="13.5" thickBot="1">
      <c r="A262" s="692" t="s">
        <v>98</v>
      </c>
      <c r="B262" s="693"/>
      <c r="C262" s="693"/>
      <c r="D262" s="693"/>
      <c r="E262" s="693"/>
      <c r="F262" s="693"/>
      <c r="G262" s="693"/>
      <c r="H262" s="693"/>
      <c r="I262" s="693"/>
      <c r="J262" s="693"/>
      <c r="K262" s="693"/>
      <c r="L262" s="693"/>
      <c r="M262" s="694"/>
    </row>
    <row r="263" spans="1:13" ht="13.5" thickTop="1">
      <c r="A263" s="695" t="s">
        <v>92</v>
      </c>
      <c r="B263" s="690"/>
      <c r="C263" s="690"/>
      <c r="D263" s="530" t="s">
        <v>95</v>
      </c>
      <c r="E263" s="690" t="s">
        <v>120</v>
      </c>
      <c r="F263" s="690"/>
      <c r="G263" s="691"/>
      <c r="H263" s="675" t="s">
        <v>121</v>
      </c>
      <c r="I263" s="675"/>
      <c r="J263" s="675"/>
      <c r="K263" s="675" t="s">
        <v>122</v>
      </c>
      <c r="L263" s="675"/>
      <c r="M263" s="676"/>
    </row>
    <row r="264" spans="1:13" ht="12.75">
      <c r="A264" s="531"/>
      <c r="B264" s="532"/>
      <c r="C264" s="532"/>
      <c r="D264" s="533" t="s">
        <v>96</v>
      </c>
      <c r="E264" s="664" t="s">
        <v>123</v>
      </c>
      <c r="F264" s="665"/>
      <c r="G264" s="535" t="s">
        <v>130</v>
      </c>
      <c r="H264" s="664" t="s">
        <v>123</v>
      </c>
      <c r="I264" s="665"/>
      <c r="J264" s="535" t="s">
        <v>130</v>
      </c>
      <c r="K264" s="664" t="s">
        <v>123</v>
      </c>
      <c r="L264" s="665"/>
      <c r="M264" s="536" t="s">
        <v>130</v>
      </c>
    </row>
    <row r="265" spans="1:13" ht="12.75">
      <c r="A265" s="537" t="s">
        <v>93</v>
      </c>
      <c r="B265" s="524" t="s">
        <v>94</v>
      </c>
      <c r="C265" s="524" t="s">
        <v>91</v>
      </c>
      <c r="D265" s="538" t="s">
        <v>97</v>
      </c>
      <c r="E265" s="534" t="s">
        <v>124</v>
      </c>
      <c r="F265" s="524" t="s">
        <v>125</v>
      </c>
      <c r="G265" s="524" t="s">
        <v>23</v>
      </c>
      <c r="H265" s="524" t="s">
        <v>124</v>
      </c>
      <c r="I265" s="524" t="s">
        <v>125</v>
      </c>
      <c r="J265" s="524" t="s">
        <v>23</v>
      </c>
      <c r="K265" s="524" t="s">
        <v>124</v>
      </c>
      <c r="L265" s="524" t="s">
        <v>125</v>
      </c>
      <c r="M265" s="525" t="s">
        <v>23</v>
      </c>
    </row>
    <row r="266" spans="1:13" ht="12.75">
      <c r="A266" s="539">
        <v>0.5</v>
      </c>
      <c r="B266" s="540">
        <v>0.025</v>
      </c>
      <c r="C266" s="541">
        <f aca="true" t="shared" si="10" ref="C266:C273">B266*2.54</f>
        <v>0.0635</v>
      </c>
      <c r="D266" s="509"/>
      <c r="E266" s="509">
        <v>12</v>
      </c>
      <c r="F266" s="509">
        <v>49</v>
      </c>
      <c r="G266" s="509"/>
      <c r="H266" s="509">
        <v>12</v>
      </c>
      <c r="I266" s="509">
        <v>49</v>
      </c>
      <c r="J266" s="509"/>
      <c r="K266" s="509">
        <v>9</v>
      </c>
      <c r="L266" s="509">
        <v>41</v>
      </c>
      <c r="M266" s="510"/>
    </row>
    <row r="267" spans="1:13" ht="12.75">
      <c r="A267" s="542">
        <v>1</v>
      </c>
      <c r="B267" s="543">
        <v>0.05</v>
      </c>
      <c r="C267" s="513">
        <f t="shared" si="10"/>
        <v>0.127</v>
      </c>
      <c r="D267" s="511"/>
      <c r="E267" s="511">
        <v>60</v>
      </c>
      <c r="F267" s="509">
        <v>178</v>
      </c>
      <c r="G267" s="511"/>
      <c r="H267" s="511">
        <v>40</v>
      </c>
      <c r="I267" s="509">
        <v>124</v>
      </c>
      <c r="J267" s="511"/>
      <c r="K267" s="511">
        <v>28</v>
      </c>
      <c r="L267" s="509">
        <v>92</v>
      </c>
      <c r="M267" s="512"/>
    </row>
    <row r="268" spans="1:13" ht="12.75">
      <c r="A268" s="544">
        <v>1.5</v>
      </c>
      <c r="B268" s="543">
        <v>0.075</v>
      </c>
      <c r="C268" s="513">
        <f t="shared" si="10"/>
        <v>0.1905</v>
      </c>
      <c r="D268" s="511"/>
      <c r="E268" s="511">
        <v>115</v>
      </c>
      <c r="F268" s="509">
        <v>326</v>
      </c>
      <c r="G268" s="511"/>
      <c r="H268" s="511">
        <v>70</v>
      </c>
      <c r="I268" s="509">
        <v>205</v>
      </c>
      <c r="J268" s="511"/>
      <c r="K268" s="511">
        <v>40</v>
      </c>
      <c r="L268" s="509">
        <v>124</v>
      </c>
      <c r="M268" s="512"/>
    </row>
    <row r="269" spans="1:13" ht="12.75">
      <c r="A269" s="542">
        <v>2</v>
      </c>
      <c r="B269" s="543">
        <v>0.1</v>
      </c>
      <c r="C269" s="513">
        <f t="shared" si="10"/>
        <v>0.254</v>
      </c>
      <c r="D269" s="511">
        <v>1000</v>
      </c>
      <c r="E269" s="511">
        <v>185</v>
      </c>
      <c r="F269" s="509">
        <v>514</v>
      </c>
      <c r="G269" s="545">
        <f>F269*100/D269</f>
        <v>51.4</v>
      </c>
      <c r="H269" s="511">
        <v>115</v>
      </c>
      <c r="I269" s="509">
        <v>326</v>
      </c>
      <c r="J269" s="545">
        <f>I269*100/D269</f>
        <v>32.6</v>
      </c>
      <c r="K269" s="511">
        <v>60</v>
      </c>
      <c r="L269" s="509">
        <v>178</v>
      </c>
      <c r="M269" s="546">
        <f>L269*100/D269</f>
        <v>17.8</v>
      </c>
    </row>
    <row r="270" spans="1:13" ht="12.75">
      <c r="A270" s="542">
        <f>A269+2</f>
        <v>4</v>
      </c>
      <c r="B270" s="543">
        <v>0.2</v>
      </c>
      <c r="C270" s="513">
        <f t="shared" si="10"/>
        <v>0.508</v>
      </c>
      <c r="D270" s="511">
        <v>1500</v>
      </c>
      <c r="E270" s="511">
        <v>415</v>
      </c>
      <c r="F270" s="509">
        <v>1182</v>
      </c>
      <c r="G270" s="545">
        <f>F270*100/D270</f>
        <v>78.8</v>
      </c>
      <c r="H270" s="511">
        <v>210</v>
      </c>
      <c r="I270" s="509">
        <v>600</v>
      </c>
      <c r="J270" s="545">
        <f>I270*100/D270</f>
        <v>40</v>
      </c>
      <c r="K270" s="511">
        <v>117</v>
      </c>
      <c r="L270" s="509">
        <v>331</v>
      </c>
      <c r="M270" s="546">
        <f>L270*100/D270</f>
        <v>22.066666666666666</v>
      </c>
    </row>
    <row r="271" spans="1:13" ht="12.75">
      <c r="A271" s="542">
        <f>A270+2</f>
        <v>6</v>
      </c>
      <c r="B271" s="543">
        <v>0.3</v>
      </c>
      <c r="C271" s="513">
        <f t="shared" si="10"/>
        <v>0.762</v>
      </c>
      <c r="D271" s="511"/>
      <c r="E271" s="511">
        <v>590</v>
      </c>
      <c r="F271" s="509">
        <v>1603</v>
      </c>
      <c r="G271" s="545"/>
      <c r="H271" s="511">
        <v>290</v>
      </c>
      <c r="I271" s="509">
        <v>796</v>
      </c>
      <c r="J271" s="545"/>
      <c r="K271" s="511">
        <v>190</v>
      </c>
      <c r="L271" s="509">
        <v>528</v>
      </c>
      <c r="M271" s="546"/>
    </row>
    <row r="272" spans="1:13" ht="12.75">
      <c r="A272" s="542">
        <f>A271+2</f>
        <v>8</v>
      </c>
      <c r="B272" s="543">
        <v>0.4</v>
      </c>
      <c r="C272" s="513">
        <f t="shared" si="10"/>
        <v>1.016</v>
      </c>
      <c r="D272" s="511"/>
      <c r="E272" s="511">
        <v>720</v>
      </c>
      <c r="F272" s="509">
        <v>1952</v>
      </c>
      <c r="G272" s="545"/>
      <c r="H272" s="511">
        <v>310</v>
      </c>
      <c r="I272" s="509">
        <v>850</v>
      </c>
      <c r="J272" s="545"/>
      <c r="K272" s="511">
        <v>220</v>
      </c>
      <c r="L272" s="517">
        <v>608</v>
      </c>
      <c r="M272" s="546"/>
    </row>
    <row r="273" spans="1:13" ht="13.5" thickBot="1">
      <c r="A273" s="565">
        <f>A272+2</f>
        <v>10</v>
      </c>
      <c r="B273" s="514">
        <v>0.5</v>
      </c>
      <c r="C273" s="566">
        <f t="shared" si="10"/>
        <v>1.27</v>
      </c>
      <c r="D273" s="567"/>
      <c r="E273" s="567">
        <v>780</v>
      </c>
      <c r="F273" s="528">
        <v>2113</v>
      </c>
      <c r="G273" s="568"/>
      <c r="H273" s="567">
        <v>330</v>
      </c>
      <c r="I273" s="528">
        <v>904</v>
      </c>
      <c r="J273" s="568"/>
      <c r="K273" s="567">
        <v>260</v>
      </c>
      <c r="L273" s="575">
        <v>716</v>
      </c>
      <c r="M273" s="569"/>
    </row>
    <row r="274" spans="1:13" ht="13.5" thickTop="1">
      <c r="A274" s="164"/>
      <c r="B274" s="28"/>
      <c r="C274" s="29"/>
      <c r="D274" s="30"/>
      <c r="E274" s="30"/>
      <c r="F274" s="30"/>
      <c r="G274" s="165"/>
      <c r="H274" s="30"/>
      <c r="I274" s="30"/>
      <c r="J274" s="165"/>
      <c r="K274" s="30"/>
      <c r="L274" s="176"/>
      <c r="M274" s="166"/>
    </row>
    <row r="275" spans="1:13" ht="13.5" thickBot="1">
      <c r="A275" s="118"/>
      <c r="B275" s="119"/>
      <c r="C275" s="120"/>
      <c r="D275" s="113"/>
      <c r="E275" s="113"/>
      <c r="F275" s="113"/>
      <c r="G275" s="113"/>
      <c r="H275" s="113"/>
      <c r="I275" s="113"/>
      <c r="J275" s="113"/>
      <c r="K275" s="113"/>
      <c r="L275" s="113"/>
      <c r="M275" s="121"/>
    </row>
    <row r="276" spans="1:13" ht="15.75" thickBot="1">
      <c r="A276" s="666" t="s">
        <v>165</v>
      </c>
      <c r="B276" s="667"/>
      <c r="C276" s="667"/>
      <c r="D276" s="667"/>
      <c r="E276" s="667"/>
      <c r="F276" s="667"/>
      <c r="G276" s="667"/>
      <c r="H276" s="667"/>
      <c r="I276" s="667"/>
      <c r="J276" s="667"/>
      <c r="K276" s="667"/>
      <c r="L276" s="667"/>
      <c r="M276" s="668"/>
    </row>
    <row r="277" spans="1:13" ht="15">
      <c r="A277" s="125"/>
      <c r="B277" s="126"/>
      <c r="C277" s="126"/>
      <c r="D277" s="126"/>
      <c r="E277" s="126"/>
      <c r="F277" s="126"/>
      <c r="G277" s="126"/>
      <c r="H277" s="126"/>
      <c r="I277" s="126"/>
      <c r="J277" s="126"/>
      <c r="K277" s="126"/>
      <c r="L277" s="126"/>
      <c r="M277" s="127"/>
    </row>
    <row r="278" spans="1:13" ht="15">
      <c r="A278" s="122"/>
      <c r="B278" s="83"/>
      <c r="C278" s="83"/>
      <c r="D278" s="83"/>
      <c r="E278" s="680" t="s">
        <v>126</v>
      </c>
      <c r="F278" s="680"/>
      <c r="G278" s="680"/>
      <c r="H278" s="680"/>
      <c r="I278" s="680"/>
      <c r="J278" s="83"/>
      <c r="K278" s="83"/>
      <c r="L278" s="83"/>
      <c r="M278" s="87"/>
    </row>
    <row r="279" spans="1:13" ht="12.75">
      <c r="A279" s="122"/>
      <c r="B279" s="83"/>
      <c r="C279" s="83"/>
      <c r="D279" s="83"/>
      <c r="E279" s="83"/>
      <c r="F279" s="83"/>
      <c r="G279" s="83"/>
      <c r="H279" s="83"/>
      <c r="I279" s="83"/>
      <c r="J279" s="83"/>
      <c r="K279" s="83"/>
      <c r="L279" s="83"/>
      <c r="M279" s="87"/>
    </row>
    <row r="280" spans="1:13" ht="12.75">
      <c r="A280" s="122"/>
      <c r="B280" s="83"/>
      <c r="C280" s="83"/>
      <c r="D280" s="83"/>
      <c r="E280" s="83"/>
      <c r="F280" s="83"/>
      <c r="G280" s="83"/>
      <c r="H280" s="83"/>
      <c r="I280" s="83"/>
      <c r="J280" s="83"/>
      <c r="K280" s="83"/>
      <c r="L280" s="83"/>
      <c r="M280" s="87"/>
    </row>
    <row r="281" spans="1:13" ht="12.75">
      <c r="A281" s="122"/>
      <c r="B281" s="83"/>
      <c r="C281" s="83"/>
      <c r="D281" s="83"/>
      <c r="E281" s="83"/>
      <c r="F281" s="83"/>
      <c r="G281" s="83"/>
      <c r="H281" s="83"/>
      <c r="I281" s="83"/>
      <c r="J281" s="83"/>
      <c r="K281" s="83"/>
      <c r="L281" s="83"/>
      <c r="M281" s="87"/>
    </row>
    <row r="282" spans="1:13" ht="12.75">
      <c r="A282" s="122"/>
      <c r="B282" s="83"/>
      <c r="C282" s="83"/>
      <c r="D282" s="83"/>
      <c r="E282" s="83"/>
      <c r="F282" s="83"/>
      <c r="G282" s="83"/>
      <c r="H282" s="83"/>
      <c r="I282" s="83"/>
      <c r="J282" s="83"/>
      <c r="K282" s="83"/>
      <c r="L282" s="83"/>
      <c r="M282" s="87"/>
    </row>
    <row r="283" spans="1:13" ht="12.75">
      <c r="A283" s="122"/>
      <c r="B283" s="83"/>
      <c r="C283" s="83"/>
      <c r="D283" s="83"/>
      <c r="E283" s="83"/>
      <c r="F283" s="83"/>
      <c r="G283" s="83"/>
      <c r="H283" s="83"/>
      <c r="I283" s="83"/>
      <c r="J283" s="83"/>
      <c r="K283" s="83"/>
      <c r="L283" s="83"/>
      <c r="M283" s="87"/>
    </row>
    <row r="284" spans="1:13" ht="12.75">
      <c r="A284" s="122"/>
      <c r="B284" s="83"/>
      <c r="C284" s="83"/>
      <c r="D284" s="83"/>
      <c r="E284" s="83"/>
      <c r="F284" s="83"/>
      <c r="G284" s="83"/>
      <c r="H284" s="83"/>
      <c r="I284" s="83"/>
      <c r="J284" s="83"/>
      <c r="K284" s="83"/>
      <c r="L284" s="83"/>
      <c r="M284" s="87"/>
    </row>
    <row r="285" spans="1:13" ht="12.75">
      <c r="A285" s="122"/>
      <c r="B285" s="83"/>
      <c r="C285" s="83"/>
      <c r="D285" s="83"/>
      <c r="E285" s="83"/>
      <c r="F285" s="83"/>
      <c r="G285" s="83"/>
      <c r="H285" s="83"/>
      <c r="I285" s="83"/>
      <c r="J285" s="83"/>
      <c r="K285" s="83"/>
      <c r="L285" s="83"/>
      <c r="M285" s="87"/>
    </row>
    <row r="286" spans="1:13" ht="12.75">
      <c r="A286" s="122"/>
      <c r="B286" s="83"/>
      <c r="C286" s="83"/>
      <c r="D286" s="83"/>
      <c r="E286" s="83"/>
      <c r="F286" s="83"/>
      <c r="G286" s="83"/>
      <c r="H286" s="83"/>
      <c r="I286" s="83"/>
      <c r="J286" s="83"/>
      <c r="K286" s="83"/>
      <c r="L286" s="83"/>
      <c r="M286" s="87"/>
    </row>
    <row r="287" spans="1:13" ht="12.75">
      <c r="A287" s="122"/>
      <c r="B287" s="83"/>
      <c r="C287" s="83"/>
      <c r="D287" s="83"/>
      <c r="E287" s="83"/>
      <c r="F287" s="83"/>
      <c r="G287" s="83"/>
      <c r="H287" s="83"/>
      <c r="I287" s="83"/>
      <c r="J287" s="83"/>
      <c r="K287" s="83"/>
      <c r="L287" s="83"/>
      <c r="M287" s="87"/>
    </row>
    <row r="288" spans="1:13" ht="12.75">
      <c r="A288" s="122"/>
      <c r="B288" s="83"/>
      <c r="C288" s="83"/>
      <c r="D288" s="83"/>
      <c r="E288" s="83"/>
      <c r="F288" s="83"/>
      <c r="G288" s="83"/>
      <c r="H288" s="83"/>
      <c r="I288" s="83"/>
      <c r="J288" s="83"/>
      <c r="K288" s="83"/>
      <c r="L288" s="83"/>
      <c r="M288" s="87"/>
    </row>
    <row r="289" spans="1:13" ht="12.75">
      <c r="A289" s="122"/>
      <c r="B289" s="83"/>
      <c r="C289" s="83"/>
      <c r="D289" s="83"/>
      <c r="E289" s="83"/>
      <c r="F289" s="83"/>
      <c r="G289" s="83"/>
      <c r="H289" s="83"/>
      <c r="I289" s="83"/>
      <c r="J289" s="83"/>
      <c r="K289" s="83"/>
      <c r="L289" s="83"/>
      <c r="M289" s="87"/>
    </row>
    <row r="290" spans="1:13" ht="12.75">
      <c r="A290" s="122"/>
      <c r="B290" s="83"/>
      <c r="C290" s="83"/>
      <c r="D290" s="83"/>
      <c r="E290" s="83"/>
      <c r="F290" s="83"/>
      <c r="G290" s="83"/>
      <c r="H290" s="83"/>
      <c r="I290" s="83"/>
      <c r="J290" s="83"/>
      <c r="K290" s="83"/>
      <c r="L290" s="83"/>
      <c r="M290" s="87"/>
    </row>
    <row r="291" spans="1:13" ht="12.75">
      <c r="A291" s="122"/>
      <c r="B291" s="83"/>
      <c r="C291" s="83"/>
      <c r="D291" s="83"/>
      <c r="E291" s="83"/>
      <c r="F291" s="83"/>
      <c r="G291" s="83"/>
      <c r="H291" s="83"/>
      <c r="I291" s="83"/>
      <c r="J291" s="83"/>
      <c r="K291" s="83"/>
      <c r="L291" s="83"/>
      <c r="M291" s="87"/>
    </row>
    <row r="292" spans="1:13" ht="12.75">
      <c r="A292" s="122"/>
      <c r="B292" s="83"/>
      <c r="C292" s="83"/>
      <c r="D292" s="83"/>
      <c r="E292" s="83"/>
      <c r="F292" s="83"/>
      <c r="G292" s="83"/>
      <c r="H292" s="83"/>
      <c r="I292" s="83"/>
      <c r="J292" s="83"/>
      <c r="K292" s="83"/>
      <c r="L292" s="83"/>
      <c r="M292" s="87"/>
    </row>
    <row r="293" spans="1:13" ht="12.75">
      <c r="A293" s="122"/>
      <c r="B293" s="83"/>
      <c r="C293" s="83"/>
      <c r="D293" s="83"/>
      <c r="E293" s="83"/>
      <c r="F293" s="83"/>
      <c r="G293" s="83"/>
      <c r="H293" s="83"/>
      <c r="I293" s="83"/>
      <c r="J293" s="83"/>
      <c r="K293" s="83"/>
      <c r="L293" s="83"/>
      <c r="M293" s="87"/>
    </row>
    <row r="294" spans="1:13" ht="12.75">
      <c r="A294" s="122"/>
      <c r="B294" s="83"/>
      <c r="C294" s="83"/>
      <c r="D294" s="83"/>
      <c r="E294" s="83"/>
      <c r="F294" s="83"/>
      <c r="G294" s="83"/>
      <c r="H294" s="83"/>
      <c r="I294" s="83"/>
      <c r="J294" s="83"/>
      <c r="K294" s="83"/>
      <c r="L294" s="83"/>
      <c r="M294" s="87"/>
    </row>
    <row r="295" spans="1:13" ht="12.75">
      <c r="A295" s="122"/>
      <c r="B295" s="83"/>
      <c r="C295" s="83"/>
      <c r="D295" s="83"/>
      <c r="E295" s="83"/>
      <c r="F295" s="83"/>
      <c r="G295" s="83"/>
      <c r="H295" s="83"/>
      <c r="I295" s="83"/>
      <c r="J295" s="83"/>
      <c r="K295" s="83"/>
      <c r="L295" s="83"/>
      <c r="M295" s="87"/>
    </row>
    <row r="296" spans="1:13" ht="12.75">
      <c r="A296" s="122"/>
      <c r="B296" s="83"/>
      <c r="C296" s="83"/>
      <c r="D296" s="83"/>
      <c r="E296" s="83"/>
      <c r="F296" s="83"/>
      <c r="G296" s="83"/>
      <c r="H296" s="83"/>
      <c r="I296" s="83"/>
      <c r="J296" s="83"/>
      <c r="K296" s="83"/>
      <c r="L296" s="83"/>
      <c r="M296" s="87"/>
    </row>
    <row r="297" spans="1:13" ht="12.75">
      <c r="A297" s="122"/>
      <c r="B297" s="83"/>
      <c r="C297" s="83"/>
      <c r="D297" s="83"/>
      <c r="E297" s="83"/>
      <c r="F297" s="83"/>
      <c r="G297" s="83"/>
      <c r="H297" s="83"/>
      <c r="I297" s="83"/>
      <c r="J297" s="83"/>
      <c r="K297" s="83"/>
      <c r="L297" s="83"/>
      <c r="M297" s="87"/>
    </row>
    <row r="298" spans="1:13" ht="12.75">
      <c r="A298" s="122"/>
      <c r="B298" s="83"/>
      <c r="C298" s="83"/>
      <c r="D298" s="83"/>
      <c r="E298" s="83"/>
      <c r="F298" s="83"/>
      <c r="G298" s="83"/>
      <c r="H298" s="83"/>
      <c r="I298" s="83"/>
      <c r="J298" s="83"/>
      <c r="K298" s="83"/>
      <c r="L298" s="83"/>
      <c r="M298" s="87"/>
    </row>
    <row r="299" spans="1:13" ht="12.75">
      <c r="A299" s="122"/>
      <c r="B299" s="83"/>
      <c r="C299" s="83"/>
      <c r="D299" s="83"/>
      <c r="E299" s="83"/>
      <c r="F299" s="83"/>
      <c r="G299" s="83"/>
      <c r="H299" s="83"/>
      <c r="I299" s="83"/>
      <c r="J299" s="83"/>
      <c r="K299" s="83"/>
      <c r="L299" s="83"/>
      <c r="M299" s="87"/>
    </row>
    <row r="300" spans="1:15" ht="12.75">
      <c r="A300" s="122"/>
      <c r="B300" s="83"/>
      <c r="C300" s="83"/>
      <c r="D300" s="83"/>
      <c r="E300" s="83"/>
      <c r="F300" s="83"/>
      <c r="G300" s="83"/>
      <c r="H300" s="83"/>
      <c r="I300" s="83"/>
      <c r="J300" s="83"/>
      <c r="K300" s="83"/>
      <c r="L300" s="83"/>
      <c r="M300" s="87"/>
      <c r="O300" s="15"/>
    </row>
    <row r="301" spans="1:18" ht="12.75">
      <c r="A301" s="122"/>
      <c r="B301" s="83"/>
      <c r="C301" s="83"/>
      <c r="D301" s="83"/>
      <c r="E301" s="83"/>
      <c r="F301" s="83"/>
      <c r="G301" s="83"/>
      <c r="H301" s="83"/>
      <c r="I301" s="83"/>
      <c r="J301" s="83"/>
      <c r="K301" s="83"/>
      <c r="L301" s="83"/>
      <c r="M301" s="87"/>
      <c r="O301" s="32">
        <v>0</v>
      </c>
      <c r="P301" s="33">
        <v>0</v>
      </c>
      <c r="Q301" s="33">
        <f>P301</f>
        <v>0</v>
      </c>
      <c r="R301" s="34">
        <f>Q301</f>
        <v>0</v>
      </c>
    </row>
    <row r="302" spans="1:18" ht="12.75">
      <c r="A302" s="122"/>
      <c r="B302" s="83"/>
      <c r="C302" s="83"/>
      <c r="D302" s="83"/>
      <c r="E302" s="83"/>
      <c r="F302" s="83"/>
      <c r="G302" s="83"/>
      <c r="H302" s="83"/>
      <c r="I302" s="83"/>
      <c r="J302" s="83"/>
      <c r="K302" s="83"/>
      <c r="L302" s="83"/>
      <c r="M302" s="87"/>
      <c r="O302" s="35">
        <f aca="true" t="shared" si="11" ref="O302:O309">B266</f>
        <v>0.025</v>
      </c>
      <c r="P302" s="9">
        <f aca="true" t="shared" si="12" ref="P302:P309">F266</f>
        <v>49</v>
      </c>
      <c r="Q302" s="9">
        <f aca="true" t="shared" si="13" ref="Q302:Q309">I266</f>
        <v>49</v>
      </c>
      <c r="R302" s="36">
        <f aca="true" t="shared" si="14" ref="R302:R309">L266</f>
        <v>41</v>
      </c>
    </row>
    <row r="303" spans="1:18" ht="12.75">
      <c r="A303" s="122"/>
      <c r="B303" s="83"/>
      <c r="C303" s="83"/>
      <c r="D303" s="83"/>
      <c r="E303" s="83"/>
      <c r="F303" s="83"/>
      <c r="G303" s="83"/>
      <c r="H303" s="83"/>
      <c r="I303" s="83"/>
      <c r="J303" s="83"/>
      <c r="K303" s="83"/>
      <c r="L303" s="83"/>
      <c r="M303" s="87"/>
      <c r="O303" s="35">
        <f t="shared" si="11"/>
        <v>0.05</v>
      </c>
      <c r="P303" s="9">
        <f t="shared" si="12"/>
        <v>178</v>
      </c>
      <c r="Q303" s="9">
        <f t="shared" si="13"/>
        <v>124</v>
      </c>
      <c r="R303" s="36">
        <f t="shared" si="14"/>
        <v>92</v>
      </c>
    </row>
    <row r="304" spans="1:18" ht="12.75">
      <c r="A304" s="122"/>
      <c r="B304" s="83"/>
      <c r="C304" s="83"/>
      <c r="D304" s="83"/>
      <c r="E304" s="83"/>
      <c r="F304" s="83"/>
      <c r="G304" s="83"/>
      <c r="H304" s="83"/>
      <c r="I304" s="83"/>
      <c r="J304" s="83"/>
      <c r="K304" s="83"/>
      <c r="L304" s="83"/>
      <c r="M304" s="87"/>
      <c r="O304" s="35">
        <f t="shared" si="11"/>
        <v>0.075</v>
      </c>
      <c r="P304" s="9">
        <f t="shared" si="12"/>
        <v>326</v>
      </c>
      <c r="Q304" s="9">
        <f t="shared" si="13"/>
        <v>205</v>
      </c>
      <c r="R304" s="36">
        <f t="shared" si="14"/>
        <v>124</v>
      </c>
    </row>
    <row r="305" spans="1:18" ht="12.75">
      <c r="A305" s="122"/>
      <c r="B305" s="83"/>
      <c r="C305" s="83"/>
      <c r="D305" s="83"/>
      <c r="E305" s="83"/>
      <c r="F305" s="83"/>
      <c r="G305" s="83"/>
      <c r="H305" s="83"/>
      <c r="I305" s="83"/>
      <c r="J305" s="83"/>
      <c r="K305" s="83"/>
      <c r="L305" s="83"/>
      <c r="M305" s="87"/>
      <c r="O305" s="35">
        <f t="shared" si="11"/>
        <v>0.1</v>
      </c>
      <c r="P305" s="9">
        <f t="shared" si="12"/>
        <v>514</v>
      </c>
      <c r="Q305" s="9">
        <f t="shared" si="13"/>
        <v>326</v>
      </c>
      <c r="R305" s="36">
        <f t="shared" si="14"/>
        <v>178</v>
      </c>
    </row>
    <row r="306" spans="1:18" ht="12.75">
      <c r="A306" s="122"/>
      <c r="B306" s="83"/>
      <c r="C306" s="83"/>
      <c r="D306" s="83"/>
      <c r="E306" s="83"/>
      <c r="F306" s="83"/>
      <c r="G306" s="83"/>
      <c r="H306" s="83"/>
      <c r="I306" s="83"/>
      <c r="J306" s="83"/>
      <c r="K306" s="83"/>
      <c r="L306" s="83"/>
      <c r="M306" s="87"/>
      <c r="O306" s="35">
        <f t="shared" si="11"/>
        <v>0.2</v>
      </c>
      <c r="P306" s="9">
        <f t="shared" si="12"/>
        <v>1182</v>
      </c>
      <c r="Q306" s="9">
        <f t="shared" si="13"/>
        <v>600</v>
      </c>
      <c r="R306" s="36">
        <f t="shared" si="14"/>
        <v>331</v>
      </c>
    </row>
    <row r="307" spans="1:18" ht="12.75">
      <c r="A307" s="122"/>
      <c r="B307" s="83"/>
      <c r="C307" s="83"/>
      <c r="D307" s="83"/>
      <c r="E307" s="83"/>
      <c r="F307" s="83"/>
      <c r="G307" s="83"/>
      <c r="H307" s="83"/>
      <c r="I307" s="83"/>
      <c r="J307" s="83"/>
      <c r="K307" s="83"/>
      <c r="L307" s="83"/>
      <c r="M307" s="87"/>
      <c r="O307" s="35">
        <f t="shared" si="11"/>
        <v>0.3</v>
      </c>
      <c r="P307" s="9">
        <f t="shared" si="12"/>
        <v>1603</v>
      </c>
      <c r="Q307" s="9">
        <f t="shared" si="13"/>
        <v>796</v>
      </c>
      <c r="R307" s="36">
        <f t="shared" si="14"/>
        <v>528</v>
      </c>
    </row>
    <row r="308" spans="1:18" ht="12.75">
      <c r="A308" s="122"/>
      <c r="B308" s="83"/>
      <c r="C308" s="83"/>
      <c r="D308" s="83"/>
      <c r="E308" s="83"/>
      <c r="F308" s="83"/>
      <c r="G308" s="83"/>
      <c r="H308" s="83"/>
      <c r="I308" s="83"/>
      <c r="J308" s="83"/>
      <c r="K308" s="83"/>
      <c r="L308" s="83"/>
      <c r="M308" s="87"/>
      <c r="O308" s="35">
        <f t="shared" si="11"/>
        <v>0.4</v>
      </c>
      <c r="P308" s="9">
        <f t="shared" si="12"/>
        <v>1952</v>
      </c>
      <c r="Q308" s="9">
        <f t="shared" si="13"/>
        <v>850</v>
      </c>
      <c r="R308" s="36">
        <f t="shared" si="14"/>
        <v>608</v>
      </c>
    </row>
    <row r="309" spans="1:18" ht="12.75">
      <c r="A309" s="122"/>
      <c r="B309" s="83"/>
      <c r="C309" s="83"/>
      <c r="D309" s="83"/>
      <c r="E309" s="83"/>
      <c r="F309" s="83"/>
      <c r="G309" s="83"/>
      <c r="H309" s="83"/>
      <c r="I309" s="83"/>
      <c r="J309" s="83"/>
      <c r="K309" s="83"/>
      <c r="L309" s="83"/>
      <c r="M309" s="87"/>
      <c r="O309" s="37">
        <f t="shared" si="11"/>
        <v>0.5</v>
      </c>
      <c r="P309" s="38">
        <f t="shared" si="12"/>
        <v>2113</v>
      </c>
      <c r="Q309" s="38">
        <f t="shared" si="13"/>
        <v>904</v>
      </c>
      <c r="R309" s="39">
        <f t="shared" si="14"/>
        <v>716</v>
      </c>
    </row>
    <row r="310" spans="1:13" ht="12.75">
      <c r="A310" s="122"/>
      <c r="B310" s="83"/>
      <c r="C310" s="83"/>
      <c r="D310" s="83"/>
      <c r="E310" s="83"/>
      <c r="F310" s="83"/>
      <c r="G310" s="83"/>
      <c r="H310" s="83"/>
      <c r="I310" s="83"/>
      <c r="J310" s="83"/>
      <c r="K310" s="83"/>
      <c r="L310" s="83"/>
      <c r="M310" s="87"/>
    </row>
    <row r="311" spans="1:17" ht="12.75">
      <c r="A311" s="122"/>
      <c r="B311" s="83"/>
      <c r="C311" s="83"/>
      <c r="D311" s="83"/>
      <c r="E311" s="83"/>
      <c r="F311" s="83"/>
      <c r="G311" s="83"/>
      <c r="H311" s="83"/>
      <c r="I311" s="83"/>
      <c r="J311" s="83"/>
      <c r="K311" s="83"/>
      <c r="L311" s="83"/>
      <c r="M311" s="87"/>
      <c r="O311" s="40"/>
      <c r="P311" s="33"/>
      <c r="Q311" s="34"/>
    </row>
    <row r="312" spans="1:17" ht="12.75">
      <c r="A312" s="122"/>
      <c r="B312" s="83"/>
      <c r="C312" s="83"/>
      <c r="D312" s="83"/>
      <c r="E312" s="83"/>
      <c r="F312" s="83"/>
      <c r="G312" s="83"/>
      <c r="H312" s="83"/>
      <c r="I312" s="83"/>
      <c r="J312" s="83"/>
      <c r="K312" s="83"/>
      <c r="L312" s="83"/>
      <c r="M312" s="87"/>
      <c r="O312" s="41" t="s">
        <v>134</v>
      </c>
      <c r="P312" s="9" t="s">
        <v>136</v>
      </c>
      <c r="Q312" s="36" t="s">
        <v>135</v>
      </c>
    </row>
    <row r="313" spans="1:17" ht="12.75">
      <c r="A313" s="122"/>
      <c r="B313" s="83"/>
      <c r="C313" s="83"/>
      <c r="D313" s="83"/>
      <c r="E313" s="83"/>
      <c r="F313" s="83"/>
      <c r="G313" s="83"/>
      <c r="H313" s="83"/>
      <c r="I313" s="83"/>
      <c r="J313" s="83"/>
      <c r="K313" s="83"/>
      <c r="L313" s="83"/>
      <c r="M313" s="87"/>
      <c r="O313" s="41"/>
      <c r="P313" s="42">
        <f>P314-2</f>
        <v>15.8</v>
      </c>
      <c r="Q313" s="43">
        <v>1.2</v>
      </c>
    </row>
    <row r="314" spans="1:17" ht="12.75">
      <c r="A314" s="122"/>
      <c r="B314" s="83"/>
      <c r="C314" s="83"/>
      <c r="D314" s="68"/>
      <c r="E314" s="68"/>
      <c r="F314" s="68"/>
      <c r="G314" s="68"/>
      <c r="H314" s="68"/>
      <c r="I314" s="68"/>
      <c r="J314" s="68"/>
      <c r="K314" s="68"/>
      <c r="L314" s="68"/>
      <c r="M314" s="87"/>
      <c r="O314" s="41" t="s">
        <v>131</v>
      </c>
      <c r="P314" s="44">
        <f>MIN(M269:M270)</f>
        <v>17.8</v>
      </c>
      <c r="Q314" s="45">
        <f>K250</f>
        <v>1.591959822543102</v>
      </c>
    </row>
    <row r="315" spans="1:17" ht="12.75">
      <c r="A315" s="122"/>
      <c r="B315" s="83"/>
      <c r="C315" s="83"/>
      <c r="D315" s="68"/>
      <c r="E315" s="68"/>
      <c r="F315" s="68"/>
      <c r="G315" s="68"/>
      <c r="H315" s="68"/>
      <c r="I315" s="68"/>
      <c r="J315" s="68"/>
      <c r="K315" s="68"/>
      <c r="L315" s="68"/>
      <c r="M315" s="87"/>
      <c r="O315" s="41" t="s">
        <v>132</v>
      </c>
      <c r="P315" s="44">
        <f>MIN(J269:J270)</f>
        <v>32.6</v>
      </c>
      <c r="Q315" s="45">
        <f>H250</f>
        <v>1.6482371794871795</v>
      </c>
    </row>
    <row r="316" spans="1:17" ht="12.75">
      <c r="A316" s="122"/>
      <c r="B316" s="83"/>
      <c r="C316" s="83"/>
      <c r="D316" s="68"/>
      <c r="E316" s="68"/>
      <c r="F316" s="68"/>
      <c r="G316" s="68"/>
      <c r="H316" s="68"/>
      <c r="I316" s="68"/>
      <c r="J316" s="68"/>
      <c r="K316" s="68"/>
      <c r="L316" s="68"/>
      <c r="M316" s="87"/>
      <c r="O316" s="41" t="s">
        <v>133</v>
      </c>
      <c r="P316" s="44">
        <f>MIN(G269:G270)</f>
        <v>51.4</v>
      </c>
      <c r="Q316" s="45">
        <f>E250</f>
        <v>1.7396238287480061</v>
      </c>
    </row>
    <row r="317" spans="1:17" ht="12.75">
      <c r="A317" s="122"/>
      <c r="B317" s="83"/>
      <c r="C317" s="83"/>
      <c r="D317" s="68"/>
      <c r="E317" s="68"/>
      <c r="F317" s="68"/>
      <c r="G317" s="68"/>
      <c r="H317" s="68"/>
      <c r="I317" s="68"/>
      <c r="J317" s="68"/>
      <c r="K317" s="557" t="s">
        <v>139</v>
      </c>
      <c r="L317" s="83"/>
      <c r="M317" s="87"/>
      <c r="O317" s="46"/>
      <c r="P317" s="47">
        <f>P316+2</f>
        <v>53.4</v>
      </c>
      <c r="Q317" s="48">
        <v>2.2</v>
      </c>
    </row>
    <row r="318" spans="1:13" ht="12.75">
      <c r="A318" s="122"/>
      <c r="B318" s="83"/>
      <c r="C318" s="83"/>
      <c r="D318" s="83"/>
      <c r="E318" s="83"/>
      <c r="F318" s="83"/>
      <c r="G318" s="83"/>
      <c r="H318" s="83"/>
      <c r="I318" s="83"/>
      <c r="J318" s="83"/>
      <c r="K318" s="83"/>
      <c r="L318" s="83"/>
      <c r="M318" s="87"/>
    </row>
    <row r="319" spans="1:16" ht="12.75">
      <c r="A319" s="122"/>
      <c r="B319" s="83"/>
      <c r="C319" s="83"/>
      <c r="D319" s="83"/>
      <c r="E319" s="83"/>
      <c r="F319" s="83"/>
      <c r="G319" s="83"/>
      <c r="H319" s="83"/>
      <c r="I319" s="83"/>
      <c r="J319" s="83"/>
      <c r="K319" s="558" t="s">
        <v>141</v>
      </c>
      <c r="L319" s="560">
        <f>(MIN(G269:G273))/100</f>
        <v>0.514</v>
      </c>
      <c r="M319" s="561" t="s">
        <v>23</v>
      </c>
      <c r="O319" s="40" t="s">
        <v>137</v>
      </c>
      <c r="P319" s="34"/>
    </row>
    <row r="320" spans="1:16" ht="12.75">
      <c r="A320" s="122"/>
      <c r="B320" s="83"/>
      <c r="C320" s="83"/>
      <c r="D320" s="83"/>
      <c r="E320" s="83"/>
      <c r="F320" s="83"/>
      <c r="G320" s="83"/>
      <c r="H320" s="83"/>
      <c r="I320" s="83"/>
      <c r="J320" s="83"/>
      <c r="K320" s="9"/>
      <c r="L320" s="9"/>
      <c r="M320" s="76"/>
      <c r="O320" s="41"/>
      <c r="P320" s="36"/>
    </row>
    <row r="321" spans="1:16" ht="12.75">
      <c r="A321" s="122"/>
      <c r="B321" s="83"/>
      <c r="C321" s="83"/>
      <c r="D321" s="83"/>
      <c r="E321" s="83"/>
      <c r="F321" s="83"/>
      <c r="G321" s="83"/>
      <c r="H321" s="83"/>
      <c r="I321" s="83"/>
      <c r="J321" s="83"/>
      <c r="K321" s="9"/>
      <c r="L321" s="9"/>
      <c r="M321" s="76"/>
      <c r="O321" s="49">
        <f>P313-1</f>
        <v>14.8</v>
      </c>
      <c r="P321" s="45">
        <f>J229/1000</f>
        <v>0.0017549999999999998</v>
      </c>
    </row>
    <row r="322" spans="1:16" ht="12.75">
      <c r="A322" s="122"/>
      <c r="B322" s="83"/>
      <c r="C322" s="83"/>
      <c r="D322" s="83"/>
      <c r="E322" s="83"/>
      <c r="F322" s="83"/>
      <c r="G322" s="83"/>
      <c r="H322" s="83"/>
      <c r="I322" s="83"/>
      <c r="J322" s="83"/>
      <c r="K322" s="83"/>
      <c r="L322" s="83"/>
      <c r="M322" s="87"/>
      <c r="O322" s="49">
        <f>P317+1</f>
        <v>54.4</v>
      </c>
      <c r="P322" s="45">
        <f>P321</f>
        <v>0.0017549999999999998</v>
      </c>
    </row>
    <row r="323" spans="1:17" ht="12.75">
      <c r="A323" s="122"/>
      <c r="B323" s="83"/>
      <c r="C323" s="83"/>
      <c r="D323" s="83"/>
      <c r="E323" s="83"/>
      <c r="F323" s="83"/>
      <c r="G323" s="83"/>
      <c r="H323" s="83"/>
      <c r="I323" s="83"/>
      <c r="J323" s="83"/>
      <c r="K323" s="557" t="s">
        <v>140</v>
      </c>
      <c r="L323" s="83"/>
      <c r="M323" s="87"/>
      <c r="O323" s="41"/>
      <c r="P323" s="36"/>
      <c r="Q323" s="169">
        <v>3</v>
      </c>
    </row>
    <row r="324" spans="1:16" ht="12.75">
      <c r="A324" s="122"/>
      <c r="B324" s="83"/>
      <c r="C324" s="83"/>
      <c r="D324" s="83"/>
      <c r="E324" s="83"/>
      <c r="F324" s="83"/>
      <c r="G324" s="83"/>
      <c r="H324" s="83"/>
      <c r="I324" s="83"/>
      <c r="J324" s="83"/>
      <c r="K324" s="83"/>
      <c r="L324" s="83"/>
      <c r="M324" s="87"/>
      <c r="O324" s="41" t="s">
        <v>138</v>
      </c>
      <c r="P324" s="36"/>
    </row>
    <row r="325" spans="1:16" ht="12.75">
      <c r="A325" s="122"/>
      <c r="B325" s="83"/>
      <c r="C325" s="83"/>
      <c r="D325" s="83"/>
      <c r="E325" s="83"/>
      <c r="F325" s="83"/>
      <c r="G325" s="83"/>
      <c r="H325" s="83"/>
      <c r="I325" s="83"/>
      <c r="J325" s="83"/>
      <c r="K325" s="558" t="s">
        <v>141</v>
      </c>
      <c r="L325" s="560">
        <f>L319*0.95</f>
        <v>0.4883</v>
      </c>
      <c r="M325" s="561" t="s">
        <v>23</v>
      </c>
      <c r="O325" s="41"/>
      <c r="P325" s="36"/>
    </row>
    <row r="326" spans="1:16" ht="12.75">
      <c r="A326" s="122"/>
      <c r="B326" s="83"/>
      <c r="C326" s="83"/>
      <c r="D326" s="83"/>
      <c r="E326" s="83"/>
      <c r="F326" s="83"/>
      <c r="G326" s="83"/>
      <c r="H326" s="83"/>
      <c r="I326" s="83"/>
      <c r="J326" s="83"/>
      <c r="K326" s="9"/>
      <c r="L326" s="9"/>
      <c r="M326" s="76"/>
      <c r="O326" s="49">
        <f>O321</f>
        <v>14.8</v>
      </c>
      <c r="P326" s="45">
        <f>0.95*P321</f>
        <v>0.0016672499999999997</v>
      </c>
    </row>
    <row r="327" spans="1:16" ht="12.75">
      <c r="A327" s="122"/>
      <c r="B327" s="83"/>
      <c r="C327" s="83"/>
      <c r="D327" s="83"/>
      <c r="E327" s="83"/>
      <c r="F327" s="83"/>
      <c r="G327" s="83"/>
      <c r="H327" s="83"/>
      <c r="I327" s="83"/>
      <c r="J327" s="83"/>
      <c r="K327" s="83"/>
      <c r="L327" s="83"/>
      <c r="M327" s="87"/>
      <c r="O327" s="50">
        <f>O322</f>
        <v>54.4</v>
      </c>
      <c r="P327" s="51">
        <f>0.95*P322</f>
        <v>0.0016672499999999997</v>
      </c>
    </row>
    <row r="328" spans="1:13" ht="12.75">
      <c r="A328" s="122"/>
      <c r="B328" s="83"/>
      <c r="C328" s="83"/>
      <c r="D328" s="83"/>
      <c r="E328" s="83"/>
      <c r="F328" s="83"/>
      <c r="G328" s="83"/>
      <c r="H328" s="83"/>
      <c r="I328" s="83"/>
      <c r="J328" s="83"/>
      <c r="K328" s="559" t="s">
        <v>168</v>
      </c>
      <c r="L328" s="576">
        <f>(G259+J259+M259)/3</f>
        <v>1.4904462437328763</v>
      </c>
      <c r="M328" s="87"/>
    </row>
    <row r="329" spans="1:13" ht="12.75">
      <c r="A329" s="122"/>
      <c r="B329" s="83"/>
      <c r="C329" s="83"/>
      <c r="D329" s="83"/>
      <c r="E329" s="83"/>
      <c r="F329" s="83"/>
      <c r="G329" s="83"/>
      <c r="H329" s="83"/>
      <c r="I329" s="83"/>
      <c r="J329" s="83"/>
      <c r="K329" s="83"/>
      <c r="L329" s="83"/>
      <c r="M329" s="87"/>
    </row>
    <row r="330" spans="1:13" ht="13.5" thickBot="1">
      <c r="A330" s="128"/>
      <c r="B330" s="123"/>
      <c r="C330" s="123"/>
      <c r="D330" s="123"/>
      <c r="E330" s="123"/>
      <c r="F330" s="579" t="s">
        <v>205</v>
      </c>
      <c r="G330" s="578">
        <f>L325</f>
        <v>0.4883</v>
      </c>
      <c r="H330" s="123"/>
      <c r="I330" s="123"/>
      <c r="J330" s="123"/>
      <c r="K330" s="123"/>
      <c r="L330" s="123"/>
      <c r="M330" s="124"/>
    </row>
    <row r="331" spans="1:13" ht="13.5" thickBot="1">
      <c r="A331" s="637" t="s">
        <v>237</v>
      </c>
      <c r="B331" s="638"/>
      <c r="C331" s="638"/>
      <c r="D331" s="638"/>
      <c r="E331" s="638"/>
      <c r="F331" s="638"/>
      <c r="G331" s="638"/>
      <c r="H331" s="638"/>
      <c r="I331" s="638"/>
      <c r="J331" s="638"/>
      <c r="K331" s="638"/>
      <c r="L331" s="638"/>
      <c r="M331" s="639"/>
    </row>
    <row r="332" spans="1:13" ht="13.5" thickBot="1">
      <c r="A332" s="69"/>
      <c r="B332" s="6"/>
      <c r="C332" s="6"/>
      <c r="D332" s="9"/>
      <c r="E332" s="9"/>
      <c r="F332" s="9"/>
      <c r="G332" s="9"/>
      <c r="H332" s="9"/>
      <c r="I332" s="9"/>
      <c r="J332" s="9"/>
      <c r="K332" s="9"/>
      <c r="L332" s="9"/>
      <c r="M332" s="76"/>
    </row>
    <row r="333" spans="1:13" ht="13.5" thickTop="1">
      <c r="A333" s="723" t="s">
        <v>2</v>
      </c>
      <c r="B333" s="724"/>
      <c r="C333" s="725"/>
      <c r="D333" s="177" t="s">
        <v>3</v>
      </c>
      <c r="E333" s="9"/>
      <c r="F333" s="9"/>
      <c r="G333" s="9"/>
      <c r="H333" s="9"/>
      <c r="I333" s="9"/>
      <c r="J333" s="9"/>
      <c r="K333" s="9"/>
      <c r="L333" s="9"/>
      <c r="M333" s="76"/>
    </row>
    <row r="334" spans="1:13" ht="12.75">
      <c r="A334" s="726" t="s">
        <v>1</v>
      </c>
      <c r="B334" s="727"/>
      <c r="C334" s="728"/>
      <c r="D334" s="178" t="s">
        <v>209</v>
      </c>
      <c r="E334" s="12"/>
      <c r="F334" s="9"/>
      <c r="G334" s="9"/>
      <c r="H334" s="9"/>
      <c r="I334" s="9"/>
      <c r="J334" s="9"/>
      <c r="K334" s="9"/>
      <c r="L334" s="9"/>
      <c r="M334" s="76"/>
    </row>
    <row r="335" spans="1:13" ht="13.5" thickBot="1">
      <c r="A335" s="729" t="s">
        <v>4</v>
      </c>
      <c r="B335" s="730"/>
      <c r="C335" s="731"/>
      <c r="D335" s="456" t="s">
        <v>68</v>
      </c>
      <c r="E335" s="6"/>
      <c r="F335" s="12"/>
      <c r="G335" s="9"/>
      <c r="H335" s="9"/>
      <c r="I335" s="9"/>
      <c r="J335" s="9"/>
      <c r="K335" s="9"/>
      <c r="L335" s="9"/>
      <c r="M335" s="76"/>
    </row>
    <row r="336" spans="1:13" ht="13.5" thickTop="1">
      <c r="A336" s="82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76"/>
    </row>
    <row r="337" spans="1:13" ht="12.75">
      <c r="A337" s="82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76"/>
    </row>
    <row r="338" spans="1:13" ht="13.5" thickBot="1">
      <c r="A338" s="82"/>
      <c r="B338" s="9"/>
      <c r="C338" s="9"/>
      <c r="D338" s="716" t="s">
        <v>78</v>
      </c>
      <c r="E338" s="716"/>
      <c r="F338" s="716"/>
      <c r="G338" s="716"/>
      <c r="H338" s="716"/>
      <c r="I338" s="716"/>
      <c r="J338" s="716"/>
      <c r="K338" s="9"/>
      <c r="L338" s="9"/>
      <c r="M338" s="76"/>
    </row>
    <row r="339" spans="1:13" ht="14.25" thickBot="1">
      <c r="A339" s="82"/>
      <c r="B339" s="9"/>
      <c r="C339" s="9"/>
      <c r="D339" s="307" t="s">
        <v>79</v>
      </c>
      <c r="E339" s="307" t="s">
        <v>80</v>
      </c>
      <c r="F339" s="307" t="s">
        <v>81</v>
      </c>
      <c r="G339" s="717" t="s">
        <v>115</v>
      </c>
      <c r="H339" s="718"/>
      <c r="I339" s="457" t="s">
        <v>100</v>
      </c>
      <c r="J339" s="308" t="s">
        <v>99</v>
      </c>
      <c r="K339" s="9"/>
      <c r="L339" s="9"/>
      <c r="M339" s="76"/>
    </row>
    <row r="340" spans="1:13" ht="13.5" thickBot="1">
      <c r="A340" s="82"/>
      <c r="B340" s="9"/>
      <c r="C340" s="9"/>
      <c r="D340" s="297">
        <v>4</v>
      </c>
      <c r="E340" s="574">
        <f>limites!F183</f>
        <v>22.611386719181013</v>
      </c>
      <c r="F340" s="574">
        <f>limites!F184</f>
        <v>0</v>
      </c>
      <c r="G340" s="720" t="s">
        <v>214</v>
      </c>
      <c r="H340" s="721"/>
      <c r="I340" s="573">
        <f>compactacion!F199</f>
        <v>13.3</v>
      </c>
      <c r="J340" s="581">
        <f>compactacion!F198</f>
        <v>1.89</v>
      </c>
      <c r="K340" s="9"/>
      <c r="L340" s="9"/>
      <c r="M340" s="76"/>
    </row>
    <row r="341" spans="1:13" ht="12.75">
      <c r="A341" s="82"/>
      <c r="B341" s="9"/>
      <c r="C341" s="9"/>
      <c r="D341" s="9"/>
      <c r="E341" s="9"/>
      <c r="F341" s="9"/>
      <c r="G341" s="9"/>
      <c r="H341" s="9"/>
      <c r="I341" s="580"/>
      <c r="J341" s="9"/>
      <c r="K341" s="9"/>
      <c r="L341" s="9"/>
      <c r="M341" s="76"/>
    </row>
    <row r="342" spans="1:13" ht="13.5" thickBot="1">
      <c r="A342" s="82"/>
      <c r="B342" s="9"/>
      <c r="C342" s="9"/>
      <c r="D342" s="722" t="s">
        <v>101</v>
      </c>
      <c r="E342" s="722"/>
      <c r="F342" s="722"/>
      <c r="G342" s="722"/>
      <c r="H342" s="722"/>
      <c r="I342" s="722"/>
      <c r="J342" s="722"/>
      <c r="K342" s="9"/>
      <c r="L342" s="9"/>
      <c r="M342" s="76"/>
    </row>
    <row r="343" spans="1:13" ht="13.5" thickTop="1">
      <c r="A343" s="463" t="s">
        <v>142</v>
      </c>
      <c r="B343" s="464"/>
      <c r="C343" s="465"/>
      <c r="D343" s="466"/>
      <c r="E343" s="683">
        <v>17</v>
      </c>
      <c r="F343" s="684"/>
      <c r="G343" s="686"/>
      <c r="H343" s="683">
        <v>6</v>
      </c>
      <c r="I343" s="684"/>
      <c r="J343" s="686"/>
      <c r="K343" s="683">
        <v>5</v>
      </c>
      <c r="L343" s="684"/>
      <c r="M343" s="685"/>
    </row>
    <row r="344" spans="1:13" ht="12.75">
      <c r="A344" s="467" t="s">
        <v>143</v>
      </c>
      <c r="B344" s="468"/>
      <c r="C344" s="469"/>
      <c r="D344" s="470"/>
      <c r="E344" s="687">
        <v>5</v>
      </c>
      <c r="F344" s="688"/>
      <c r="G344" s="689"/>
      <c r="H344" s="687">
        <v>5</v>
      </c>
      <c r="I344" s="688"/>
      <c r="J344" s="689"/>
      <c r="K344" s="687">
        <v>5</v>
      </c>
      <c r="L344" s="688"/>
      <c r="M344" s="719"/>
    </row>
    <row r="345" spans="1:13" ht="12.75">
      <c r="A345" s="471" t="s">
        <v>144</v>
      </c>
      <c r="B345" s="472"/>
      <c r="C345" s="473"/>
      <c r="D345" s="474"/>
      <c r="E345" s="710">
        <v>56</v>
      </c>
      <c r="F345" s="711"/>
      <c r="G345" s="712"/>
      <c r="H345" s="710">
        <v>25</v>
      </c>
      <c r="I345" s="711"/>
      <c r="J345" s="712"/>
      <c r="K345" s="710">
        <v>12</v>
      </c>
      <c r="L345" s="711"/>
      <c r="M345" s="713"/>
    </row>
    <row r="346" spans="1:13" ht="12.75">
      <c r="A346" s="475" t="s">
        <v>145</v>
      </c>
      <c r="B346" s="476"/>
      <c r="C346" s="477"/>
      <c r="D346" s="478"/>
      <c r="E346" s="714" t="s">
        <v>83</v>
      </c>
      <c r="F346" s="715"/>
      <c r="G346" s="480" t="s">
        <v>116</v>
      </c>
      <c r="H346" s="714" t="s">
        <v>83</v>
      </c>
      <c r="I346" s="715"/>
      <c r="J346" s="480" t="s">
        <v>116</v>
      </c>
      <c r="K346" s="714" t="s">
        <v>83</v>
      </c>
      <c r="L346" s="715"/>
      <c r="M346" s="481" t="s">
        <v>116</v>
      </c>
    </row>
    <row r="347" spans="1:13" ht="12.75">
      <c r="A347" s="482" t="s">
        <v>146</v>
      </c>
      <c r="B347" s="483"/>
      <c r="C347" s="484"/>
      <c r="D347" s="485"/>
      <c r="E347" s="708">
        <v>8613</v>
      </c>
      <c r="F347" s="709"/>
      <c r="G347" s="487">
        <v>8709</v>
      </c>
      <c r="H347" s="708">
        <v>8365</v>
      </c>
      <c r="I347" s="709"/>
      <c r="J347" s="487">
        <v>8577</v>
      </c>
      <c r="K347" s="708">
        <v>8000</v>
      </c>
      <c r="L347" s="709"/>
      <c r="M347" s="488">
        <v>8324</v>
      </c>
    </row>
    <row r="348" spans="1:13" ht="12.75">
      <c r="A348" s="467" t="s">
        <v>147</v>
      </c>
      <c r="B348" s="468"/>
      <c r="C348" s="469"/>
      <c r="D348" s="470"/>
      <c r="E348" s="688">
        <v>4128</v>
      </c>
      <c r="F348" s="689"/>
      <c r="G348" s="489">
        <v>4128</v>
      </c>
      <c r="H348" s="687">
        <v>4188</v>
      </c>
      <c r="I348" s="689"/>
      <c r="J348" s="489">
        <v>4188</v>
      </c>
      <c r="K348" s="687">
        <v>4093</v>
      </c>
      <c r="L348" s="689"/>
      <c r="M348" s="490">
        <v>4093</v>
      </c>
    </row>
    <row r="349" spans="1:13" ht="12.75">
      <c r="A349" s="467" t="s">
        <v>153</v>
      </c>
      <c r="B349" s="468"/>
      <c r="C349" s="469"/>
      <c r="D349" s="470"/>
      <c r="E349" s="701">
        <f>E347-E348</f>
        <v>4485</v>
      </c>
      <c r="F349" s="702"/>
      <c r="G349" s="489">
        <f>G347-G348</f>
        <v>4581</v>
      </c>
      <c r="H349" s="701">
        <f>H347-H348</f>
        <v>4177</v>
      </c>
      <c r="I349" s="702"/>
      <c r="J349" s="489">
        <f>J347-J348</f>
        <v>4389</v>
      </c>
      <c r="K349" s="701">
        <f>K347-K348</f>
        <v>3907</v>
      </c>
      <c r="L349" s="702"/>
      <c r="M349" s="490">
        <f>M347-M348</f>
        <v>4231</v>
      </c>
    </row>
    <row r="350" spans="1:13" ht="12.75">
      <c r="A350" s="467" t="s">
        <v>148</v>
      </c>
      <c r="B350" s="468"/>
      <c r="C350" s="469"/>
      <c r="D350" s="470"/>
      <c r="E350" s="701">
        <v>2119</v>
      </c>
      <c r="F350" s="689"/>
      <c r="G350" s="491">
        <v>2119</v>
      </c>
      <c r="H350" s="703">
        <v>2076</v>
      </c>
      <c r="I350" s="689"/>
      <c r="J350" s="491">
        <v>2076</v>
      </c>
      <c r="K350" s="703">
        <v>2083</v>
      </c>
      <c r="L350" s="689"/>
      <c r="M350" s="492">
        <v>2083</v>
      </c>
    </row>
    <row r="351" spans="1:13" ht="13.5">
      <c r="A351" s="471" t="s">
        <v>166</v>
      </c>
      <c r="B351" s="472"/>
      <c r="C351" s="473"/>
      <c r="D351" s="474"/>
      <c r="E351" s="704">
        <f>E349/E350</f>
        <v>2.1165644171779143</v>
      </c>
      <c r="F351" s="705"/>
      <c r="G351" s="493">
        <f>G349/G350</f>
        <v>2.161868806040585</v>
      </c>
      <c r="H351" s="704">
        <f>H349/H350</f>
        <v>2.0120423892100194</v>
      </c>
      <c r="I351" s="705"/>
      <c r="J351" s="493">
        <f>J349/J350</f>
        <v>2.1141618497109826</v>
      </c>
      <c r="K351" s="704">
        <f>K349/K350</f>
        <v>1.8756601056168987</v>
      </c>
      <c r="L351" s="705"/>
      <c r="M351" s="494">
        <f>M349/M350</f>
        <v>2.031204992798848</v>
      </c>
    </row>
    <row r="352" spans="1:13" ht="12.75">
      <c r="A352" s="475" t="s">
        <v>149</v>
      </c>
      <c r="B352" s="476"/>
      <c r="C352" s="477"/>
      <c r="D352" s="478"/>
      <c r="E352" s="479" t="s">
        <v>82</v>
      </c>
      <c r="F352" s="495" t="s">
        <v>117</v>
      </c>
      <c r="G352" s="495" t="s">
        <v>129</v>
      </c>
      <c r="H352" s="495" t="s">
        <v>82</v>
      </c>
      <c r="I352" s="495" t="s">
        <v>117</v>
      </c>
      <c r="J352" s="495" t="s">
        <v>129</v>
      </c>
      <c r="K352" s="495" t="s">
        <v>82</v>
      </c>
      <c r="L352" s="495" t="s">
        <v>117</v>
      </c>
      <c r="M352" s="496" t="s">
        <v>129</v>
      </c>
    </row>
    <row r="353" spans="1:13" ht="12.75">
      <c r="A353" s="482" t="s">
        <v>154</v>
      </c>
      <c r="B353" s="483"/>
      <c r="C353" s="484"/>
      <c r="D353" s="485"/>
      <c r="E353" s="486" t="s">
        <v>175</v>
      </c>
      <c r="F353" s="487"/>
      <c r="G353" s="487" t="s">
        <v>179</v>
      </c>
      <c r="H353" s="487" t="s">
        <v>176</v>
      </c>
      <c r="I353" s="487"/>
      <c r="J353" s="487" t="s">
        <v>172</v>
      </c>
      <c r="K353" s="487" t="s">
        <v>174</v>
      </c>
      <c r="L353" s="487"/>
      <c r="M353" s="488" t="s">
        <v>172</v>
      </c>
    </row>
    <row r="354" spans="1:13" ht="12.75">
      <c r="A354" s="467" t="s">
        <v>155</v>
      </c>
      <c r="B354" s="468"/>
      <c r="C354" s="469"/>
      <c r="D354" s="470"/>
      <c r="E354" s="497">
        <v>131.5</v>
      </c>
      <c r="F354" s="497"/>
      <c r="G354" s="498">
        <v>204</v>
      </c>
      <c r="H354" s="498">
        <v>152.1</v>
      </c>
      <c r="I354" s="498"/>
      <c r="J354" s="498">
        <v>217.4</v>
      </c>
      <c r="K354" s="498">
        <v>149.8</v>
      </c>
      <c r="L354" s="498"/>
      <c r="M354" s="499">
        <v>209.2</v>
      </c>
    </row>
    <row r="355" spans="1:13" ht="12.75">
      <c r="A355" s="467" t="s">
        <v>156</v>
      </c>
      <c r="B355" s="468"/>
      <c r="C355" s="469"/>
      <c r="D355" s="470"/>
      <c r="E355" s="497">
        <v>124.8</v>
      </c>
      <c r="F355" s="498"/>
      <c r="G355" s="498">
        <v>185.4</v>
      </c>
      <c r="H355" s="498">
        <v>142.6</v>
      </c>
      <c r="I355" s="498"/>
      <c r="J355" s="498">
        <v>195.4</v>
      </c>
      <c r="K355" s="498">
        <v>141</v>
      </c>
      <c r="L355" s="498"/>
      <c r="M355" s="499">
        <v>186.5</v>
      </c>
    </row>
    <row r="356" spans="1:13" ht="12.75">
      <c r="A356" s="467" t="s">
        <v>150</v>
      </c>
      <c r="B356" s="468"/>
      <c r="C356" s="469"/>
      <c r="D356" s="470"/>
      <c r="E356" s="497">
        <f>E354-E355</f>
        <v>6.700000000000003</v>
      </c>
      <c r="F356" s="497"/>
      <c r="G356" s="498">
        <f>G354-G355</f>
        <v>18.599999999999994</v>
      </c>
      <c r="H356" s="497">
        <f>H354-H355</f>
        <v>9.5</v>
      </c>
      <c r="I356" s="497"/>
      <c r="J356" s="497">
        <f>J354-J355</f>
        <v>22</v>
      </c>
      <c r="K356" s="497">
        <f>K354-K355</f>
        <v>8.800000000000011</v>
      </c>
      <c r="L356" s="497"/>
      <c r="M356" s="500">
        <f>M354-M355</f>
        <v>22.69999999999999</v>
      </c>
    </row>
    <row r="357" spans="1:13" ht="12.75">
      <c r="A357" s="467" t="s">
        <v>157</v>
      </c>
      <c r="B357" s="468"/>
      <c r="C357" s="469"/>
      <c r="D357" s="470"/>
      <c r="E357" s="497">
        <v>73.6</v>
      </c>
      <c r="F357" s="498"/>
      <c r="G357" s="498">
        <v>75.4</v>
      </c>
      <c r="H357" s="498">
        <v>72.3</v>
      </c>
      <c r="I357" s="498"/>
      <c r="J357" s="498">
        <v>73.6</v>
      </c>
      <c r="K357" s="498">
        <v>75.4</v>
      </c>
      <c r="L357" s="498"/>
      <c r="M357" s="499">
        <v>75.1</v>
      </c>
    </row>
    <row r="358" spans="1:13" ht="12.75">
      <c r="A358" s="467" t="s">
        <v>151</v>
      </c>
      <c r="B358" s="468"/>
      <c r="C358" s="469"/>
      <c r="D358" s="470"/>
      <c r="E358" s="497">
        <f>E355-E357</f>
        <v>51.2</v>
      </c>
      <c r="F358" s="497"/>
      <c r="G358" s="498">
        <f>G355-G357</f>
        <v>110</v>
      </c>
      <c r="H358" s="497">
        <f>H355-H357</f>
        <v>70.3</v>
      </c>
      <c r="I358" s="497"/>
      <c r="J358" s="497">
        <f>J355-J357</f>
        <v>121.80000000000001</v>
      </c>
      <c r="K358" s="497">
        <f>K355-K357</f>
        <v>65.6</v>
      </c>
      <c r="L358" s="497"/>
      <c r="M358" s="500">
        <f>M355-M357</f>
        <v>111.4</v>
      </c>
    </row>
    <row r="359" spans="1:13" ht="12.75">
      <c r="A359" s="467" t="s">
        <v>158</v>
      </c>
      <c r="B359" s="468"/>
      <c r="C359" s="469"/>
      <c r="D359" s="470"/>
      <c r="E359" s="497">
        <f>(E356/E358)*100</f>
        <v>13.085937500000005</v>
      </c>
      <c r="F359" s="497"/>
      <c r="G359" s="497">
        <f>(G356/G358)*100</f>
        <v>16.909090909090903</v>
      </c>
      <c r="H359" s="497">
        <f>H356*100/H358</f>
        <v>13.513513513513514</v>
      </c>
      <c r="I359" s="497"/>
      <c r="J359" s="497">
        <f>(J356/J358)*100</f>
        <v>18.062397372742197</v>
      </c>
      <c r="K359" s="497">
        <f>K356*100/K358</f>
        <v>13.414634146341482</v>
      </c>
      <c r="L359" s="497"/>
      <c r="M359" s="500">
        <f>(M356/M358)*100</f>
        <v>20.377019748653492</v>
      </c>
    </row>
    <row r="360" spans="1:18" ht="12.75">
      <c r="A360" s="467" t="s">
        <v>152</v>
      </c>
      <c r="B360" s="468"/>
      <c r="C360" s="469"/>
      <c r="D360" s="470"/>
      <c r="E360" s="706">
        <f>AVERAGE(E359:F359)</f>
        <v>13.085937500000005</v>
      </c>
      <c r="F360" s="707"/>
      <c r="G360" s="498"/>
      <c r="H360" s="706">
        <f>AVERAGE(H359:I359)</f>
        <v>13.513513513513514</v>
      </c>
      <c r="I360" s="707"/>
      <c r="J360" s="498"/>
      <c r="K360" s="706">
        <f>AVERAGE(K359:L359)</f>
        <v>13.414634146341482</v>
      </c>
      <c r="L360" s="707"/>
      <c r="M360" s="499"/>
      <c r="P360" s="10" t="s">
        <v>159</v>
      </c>
      <c r="Q360" s="10" t="s">
        <v>160</v>
      </c>
      <c r="R360" s="10" t="s">
        <v>161</v>
      </c>
    </row>
    <row r="361" spans="1:18" ht="14.25" thickBot="1">
      <c r="A361" s="501" t="s">
        <v>167</v>
      </c>
      <c r="B361" s="502"/>
      <c r="C361" s="503"/>
      <c r="D361" s="504"/>
      <c r="E361" s="677">
        <f>(E351*100/(E360+100))</f>
        <v>1.8716424552592266</v>
      </c>
      <c r="F361" s="678"/>
      <c r="G361" s="505"/>
      <c r="H361" s="677">
        <f>(H351*100/(H360+100))</f>
        <v>1.7725135333516837</v>
      </c>
      <c r="I361" s="678"/>
      <c r="J361" s="505"/>
      <c r="K361" s="677">
        <f>(K351*100/(K360+100))</f>
        <v>1.653807835060061</v>
      </c>
      <c r="L361" s="678"/>
      <c r="M361" s="506"/>
      <c r="O361" s="10" t="s">
        <v>163</v>
      </c>
      <c r="P361" s="17">
        <v>11.5</v>
      </c>
      <c r="Q361" s="17">
        <v>11.52</v>
      </c>
      <c r="R361" s="17">
        <v>11.54</v>
      </c>
    </row>
    <row r="362" spans="1:18" ht="13.5" thickTop="1">
      <c r="A362" s="114"/>
      <c r="B362" s="26"/>
      <c r="C362" s="26"/>
      <c r="D362" s="26"/>
      <c r="E362" s="27"/>
      <c r="F362" s="27"/>
      <c r="G362" s="26"/>
      <c r="H362" s="27"/>
      <c r="I362" s="27"/>
      <c r="J362" s="26"/>
      <c r="K362" s="27"/>
      <c r="L362" s="27"/>
      <c r="M362" s="115"/>
      <c r="O362" s="10" t="s">
        <v>162</v>
      </c>
      <c r="P362" s="17">
        <v>15</v>
      </c>
      <c r="Q362" s="17">
        <v>15.05</v>
      </c>
      <c r="R362" s="17">
        <v>15.1</v>
      </c>
    </row>
    <row r="363" spans="1:18" ht="13.5" thickBot="1">
      <c r="A363" s="692" t="s">
        <v>90</v>
      </c>
      <c r="B363" s="693"/>
      <c r="C363" s="693"/>
      <c r="D363" s="693"/>
      <c r="E363" s="693"/>
      <c r="F363" s="693"/>
      <c r="G363" s="693"/>
      <c r="H363" s="693"/>
      <c r="I363" s="693"/>
      <c r="J363" s="693"/>
      <c r="K363" s="693"/>
      <c r="L363" s="693"/>
      <c r="M363" s="694"/>
      <c r="O363" s="10" t="s">
        <v>164</v>
      </c>
      <c r="P363" s="19">
        <f>(PI()*P362^2/4)*P361</f>
        <v>2032.2177477908974</v>
      </c>
      <c r="Q363" s="19">
        <f>(PI()*Q362^2/4)*Q361</f>
        <v>2049.3463392568</v>
      </c>
      <c r="R363" s="19">
        <f>(PI()*R362^2/4)*R361</f>
        <v>2066.56745062635</v>
      </c>
    </row>
    <row r="364" spans="1:18" ht="13.5" thickTop="1">
      <c r="A364" s="671" t="s">
        <v>84</v>
      </c>
      <c r="B364" s="672"/>
      <c r="C364" s="672" t="s">
        <v>85</v>
      </c>
      <c r="D364" s="523" t="s">
        <v>86</v>
      </c>
      <c r="E364" s="675" t="s">
        <v>87</v>
      </c>
      <c r="F364" s="675"/>
      <c r="G364" s="675"/>
      <c r="H364" s="675" t="s">
        <v>118</v>
      </c>
      <c r="I364" s="675"/>
      <c r="J364" s="675"/>
      <c r="K364" s="675" t="s">
        <v>119</v>
      </c>
      <c r="L364" s="675"/>
      <c r="M364" s="676"/>
      <c r="Q364" s="26"/>
      <c r="R364" s="26"/>
    </row>
    <row r="365" spans="1:18" ht="12.75">
      <c r="A365" s="673"/>
      <c r="B365" s="674"/>
      <c r="C365" s="674"/>
      <c r="D365" s="524" t="s">
        <v>127</v>
      </c>
      <c r="E365" s="524" t="s">
        <v>88</v>
      </c>
      <c r="F365" s="669" t="s">
        <v>90</v>
      </c>
      <c r="G365" s="669"/>
      <c r="H365" s="524" t="s">
        <v>88</v>
      </c>
      <c r="I365" s="669" t="s">
        <v>90</v>
      </c>
      <c r="J365" s="669"/>
      <c r="K365" s="524" t="s">
        <v>88</v>
      </c>
      <c r="L365" s="669" t="s">
        <v>90</v>
      </c>
      <c r="M365" s="670"/>
      <c r="O365" s="19"/>
      <c r="Q365" s="26"/>
      <c r="R365" s="26"/>
    </row>
    <row r="366" spans="1:18" ht="12.75">
      <c r="A366" s="673"/>
      <c r="B366" s="674"/>
      <c r="C366" s="674"/>
      <c r="D366" s="524" t="s">
        <v>128</v>
      </c>
      <c r="E366" s="524" t="s">
        <v>89</v>
      </c>
      <c r="F366" s="524" t="s">
        <v>91</v>
      </c>
      <c r="G366" s="524" t="s">
        <v>23</v>
      </c>
      <c r="H366" s="524" t="s">
        <v>89</v>
      </c>
      <c r="I366" s="524" t="s">
        <v>91</v>
      </c>
      <c r="J366" s="524" t="s">
        <v>23</v>
      </c>
      <c r="K366" s="524" t="s">
        <v>89</v>
      </c>
      <c r="L366" s="524" t="s">
        <v>91</v>
      </c>
      <c r="M366" s="525" t="s">
        <v>23</v>
      </c>
      <c r="Q366" s="26"/>
      <c r="R366" s="26"/>
    </row>
    <row r="367" spans="1:18" ht="12.75">
      <c r="A367" s="699">
        <v>39232</v>
      </c>
      <c r="B367" s="700"/>
      <c r="C367" s="515">
        <v>0.3958333333333333</v>
      </c>
      <c r="D367" s="696">
        <v>4</v>
      </c>
      <c r="E367" s="516">
        <v>0.095</v>
      </c>
      <c r="F367" s="517">
        <f>E367*2.54</f>
        <v>0.24130000000000001</v>
      </c>
      <c r="G367" s="517"/>
      <c r="H367" s="516">
        <v>0.233</v>
      </c>
      <c r="I367" s="517">
        <f>H367*2.54</f>
        <v>0.59182</v>
      </c>
      <c r="J367" s="517"/>
      <c r="K367" s="516">
        <v>0.174</v>
      </c>
      <c r="L367" s="517">
        <f>K367*2.54</f>
        <v>0.44195999999999996</v>
      </c>
      <c r="M367" s="518"/>
      <c r="Q367" s="26"/>
      <c r="R367" s="26"/>
    </row>
    <row r="368" spans="1:18" ht="12.75">
      <c r="A368" s="699"/>
      <c r="B368" s="700"/>
      <c r="C368" s="515"/>
      <c r="D368" s="741"/>
      <c r="E368" s="516"/>
      <c r="F368" s="516"/>
      <c r="G368" s="582"/>
      <c r="H368" s="516"/>
      <c r="I368" s="516"/>
      <c r="J368" s="582"/>
      <c r="K368" s="516"/>
      <c r="L368" s="516"/>
      <c r="M368" s="583"/>
      <c r="Q368" s="26"/>
      <c r="R368" s="26"/>
    </row>
    <row r="369" spans="1:18" ht="13.5" thickBot="1">
      <c r="A369" s="699">
        <v>39263</v>
      </c>
      <c r="B369" s="700"/>
      <c r="C369" s="515">
        <f>C367</f>
        <v>0.3958333333333333</v>
      </c>
      <c r="D369" s="742"/>
      <c r="E369" s="527">
        <v>0.11</v>
      </c>
      <c r="F369" s="528">
        <f>E369*2.54</f>
        <v>0.2794</v>
      </c>
      <c r="G369" s="519">
        <f>(F369-F367)*100/P361</f>
        <v>0.3313043478260867</v>
      </c>
      <c r="H369" s="527">
        <v>0.27</v>
      </c>
      <c r="I369" s="528">
        <f>H369*2.54</f>
        <v>0.6858000000000001</v>
      </c>
      <c r="J369" s="519">
        <f>(I369-I367)*100/Q361</f>
        <v>0.8157986111111117</v>
      </c>
      <c r="K369" s="527">
        <v>0.24</v>
      </c>
      <c r="L369" s="528">
        <f>K369*2.54</f>
        <v>0.6096</v>
      </c>
      <c r="M369" s="529">
        <f>(L369-L367)*100/R361</f>
        <v>1.4526863084922017</v>
      </c>
      <c r="Q369" s="26"/>
      <c r="R369" s="26"/>
    </row>
    <row r="370" spans="1:18" ht="13.5" thickTop="1">
      <c r="A370" s="114"/>
      <c r="B370" s="26"/>
      <c r="C370" s="26"/>
      <c r="D370" s="26"/>
      <c r="E370" s="26"/>
      <c r="F370" s="26"/>
      <c r="G370" s="9"/>
      <c r="H370" s="9"/>
      <c r="I370" s="26"/>
      <c r="J370" s="26"/>
      <c r="K370" s="26"/>
      <c r="L370" s="26"/>
      <c r="M370" s="115"/>
      <c r="Q370" s="26"/>
      <c r="R370" s="26"/>
    </row>
    <row r="371" spans="1:18" ht="13.5" thickBot="1">
      <c r="A371" s="692" t="s">
        <v>98</v>
      </c>
      <c r="B371" s="693"/>
      <c r="C371" s="693"/>
      <c r="D371" s="693"/>
      <c r="E371" s="693"/>
      <c r="F371" s="693"/>
      <c r="G371" s="693"/>
      <c r="H371" s="693"/>
      <c r="I371" s="693"/>
      <c r="J371" s="693"/>
      <c r="K371" s="693"/>
      <c r="L371" s="693"/>
      <c r="M371" s="694"/>
      <c r="Q371" s="26"/>
      <c r="R371" s="26"/>
    </row>
    <row r="372" spans="1:18" ht="13.5" thickTop="1">
      <c r="A372" s="695" t="s">
        <v>92</v>
      </c>
      <c r="B372" s="690"/>
      <c r="C372" s="690"/>
      <c r="D372" s="530" t="s">
        <v>95</v>
      </c>
      <c r="E372" s="690" t="s">
        <v>120</v>
      </c>
      <c r="F372" s="690"/>
      <c r="G372" s="691"/>
      <c r="H372" s="675" t="s">
        <v>121</v>
      </c>
      <c r="I372" s="675"/>
      <c r="J372" s="675"/>
      <c r="K372" s="675" t="s">
        <v>122</v>
      </c>
      <c r="L372" s="675"/>
      <c r="M372" s="676"/>
      <c r="Q372" s="26"/>
      <c r="R372" s="26"/>
    </row>
    <row r="373" spans="1:18" ht="12.75">
      <c r="A373" s="531"/>
      <c r="B373" s="532"/>
      <c r="C373" s="532"/>
      <c r="D373" s="533" t="s">
        <v>96</v>
      </c>
      <c r="E373" s="664" t="s">
        <v>123</v>
      </c>
      <c r="F373" s="665"/>
      <c r="G373" s="535" t="s">
        <v>130</v>
      </c>
      <c r="H373" s="664" t="s">
        <v>123</v>
      </c>
      <c r="I373" s="665"/>
      <c r="J373" s="535" t="s">
        <v>130</v>
      </c>
      <c r="K373" s="664" t="s">
        <v>123</v>
      </c>
      <c r="L373" s="665"/>
      <c r="M373" s="536" t="s">
        <v>130</v>
      </c>
      <c r="Q373" s="26"/>
      <c r="R373" s="26"/>
    </row>
    <row r="374" spans="1:18" ht="12.75">
      <c r="A374" s="537" t="s">
        <v>93</v>
      </c>
      <c r="B374" s="524" t="s">
        <v>94</v>
      </c>
      <c r="C374" s="524" t="s">
        <v>91</v>
      </c>
      <c r="D374" s="538" t="s">
        <v>97</v>
      </c>
      <c r="E374" s="534" t="s">
        <v>124</v>
      </c>
      <c r="F374" s="524" t="s">
        <v>125</v>
      </c>
      <c r="G374" s="524" t="s">
        <v>23</v>
      </c>
      <c r="H374" s="524" t="s">
        <v>124</v>
      </c>
      <c r="I374" s="524" t="s">
        <v>125</v>
      </c>
      <c r="J374" s="524" t="s">
        <v>23</v>
      </c>
      <c r="K374" s="524" t="s">
        <v>124</v>
      </c>
      <c r="L374" s="524" t="s">
        <v>125</v>
      </c>
      <c r="M374" s="525" t="s">
        <v>23</v>
      </c>
      <c r="Q374" s="26"/>
      <c r="R374" s="26"/>
    </row>
    <row r="375" spans="1:18" ht="12.75">
      <c r="A375" s="539">
        <v>0.5</v>
      </c>
      <c r="B375" s="540">
        <v>0.025</v>
      </c>
      <c r="C375" s="541">
        <f aca="true" t="shared" si="15" ref="C375:C382">B375*2.54</f>
        <v>0.0635</v>
      </c>
      <c r="D375" s="509"/>
      <c r="E375" s="509">
        <v>21</v>
      </c>
      <c r="F375" s="509">
        <v>73</v>
      </c>
      <c r="G375" s="509"/>
      <c r="H375" s="509">
        <v>16</v>
      </c>
      <c r="I375" s="509">
        <v>60</v>
      </c>
      <c r="J375" s="509"/>
      <c r="K375" s="509">
        <v>10</v>
      </c>
      <c r="L375" s="509">
        <v>44</v>
      </c>
      <c r="M375" s="510"/>
      <c r="Q375" s="26"/>
      <c r="R375" s="26"/>
    </row>
    <row r="376" spans="1:13" ht="12.75">
      <c r="A376" s="542">
        <v>1</v>
      </c>
      <c r="B376" s="543">
        <v>0.05</v>
      </c>
      <c r="C376" s="513">
        <f t="shared" si="15"/>
        <v>0.127</v>
      </c>
      <c r="D376" s="511"/>
      <c r="E376" s="511">
        <v>100</v>
      </c>
      <c r="F376" s="509">
        <v>286</v>
      </c>
      <c r="G376" s="511"/>
      <c r="H376" s="511">
        <v>60</v>
      </c>
      <c r="I376" s="509">
        <v>178</v>
      </c>
      <c r="J376" s="511"/>
      <c r="K376" s="511">
        <v>21</v>
      </c>
      <c r="L376" s="509">
        <v>73</v>
      </c>
      <c r="M376" s="512"/>
    </row>
    <row r="377" spans="1:13" ht="12.75">
      <c r="A377" s="544">
        <v>1.5</v>
      </c>
      <c r="B377" s="543">
        <v>0.075</v>
      </c>
      <c r="C377" s="513">
        <f t="shared" si="15"/>
        <v>0.1905</v>
      </c>
      <c r="D377" s="511"/>
      <c r="E377" s="511">
        <v>223</v>
      </c>
      <c r="F377" s="509">
        <v>616</v>
      </c>
      <c r="G377" s="511"/>
      <c r="H377" s="511">
        <v>130</v>
      </c>
      <c r="I377" s="509">
        <v>366</v>
      </c>
      <c r="J377" s="511"/>
      <c r="K377" s="511">
        <v>36</v>
      </c>
      <c r="L377" s="509">
        <v>114</v>
      </c>
      <c r="M377" s="512"/>
    </row>
    <row r="378" spans="1:13" ht="12.75">
      <c r="A378" s="542">
        <v>2</v>
      </c>
      <c r="B378" s="543">
        <v>0.1</v>
      </c>
      <c r="C378" s="513">
        <f t="shared" si="15"/>
        <v>0.254</v>
      </c>
      <c r="D378" s="511">
        <v>1000</v>
      </c>
      <c r="E378" s="511">
        <v>345</v>
      </c>
      <c r="F378" s="509">
        <v>944</v>
      </c>
      <c r="G378" s="545">
        <f>F378*100/D378</f>
        <v>94.4</v>
      </c>
      <c r="H378" s="511">
        <v>197</v>
      </c>
      <c r="I378" s="509">
        <v>546</v>
      </c>
      <c r="J378" s="545">
        <f>I378*100/D378</f>
        <v>54.6</v>
      </c>
      <c r="K378" s="511">
        <v>49</v>
      </c>
      <c r="L378" s="509">
        <v>149</v>
      </c>
      <c r="M378" s="546">
        <f>L378*100/D378</f>
        <v>14.9</v>
      </c>
    </row>
    <row r="379" spans="1:13" ht="12.75">
      <c r="A379" s="542">
        <f>A378+2</f>
        <v>4</v>
      </c>
      <c r="B379" s="543">
        <v>0.2</v>
      </c>
      <c r="C379" s="513">
        <f t="shared" si="15"/>
        <v>0.508</v>
      </c>
      <c r="D379" s="511">
        <v>1500</v>
      </c>
      <c r="E379" s="511">
        <v>812</v>
      </c>
      <c r="F379" s="509">
        <v>2199</v>
      </c>
      <c r="G379" s="545">
        <f>F379*100/D379</f>
        <v>146.6</v>
      </c>
      <c r="H379" s="511">
        <v>455</v>
      </c>
      <c r="I379" s="509">
        <v>1240</v>
      </c>
      <c r="J379" s="545">
        <f>I379*100/D379</f>
        <v>82.66666666666667</v>
      </c>
      <c r="K379" s="511">
        <v>98</v>
      </c>
      <c r="L379" s="509">
        <v>280</v>
      </c>
      <c r="M379" s="546">
        <f>L379*100/D379</f>
        <v>18.666666666666668</v>
      </c>
    </row>
    <row r="380" spans="1:13" ht="12.75">
      <c r="A380" s="542">
        <f>A379+2</f>
        <v>6</v>
      </c>
      <c r="B380" s="543">
        <v>0.3</v>
      </c>
      <c r="C380" s="513">
        <f t="shared" si="15"/>
        <v>0.762</v>
      </c>
      <c r="D380" s="511"/>
      <c r="E380" s="511">
        <v>1350</v>
      </c>
      <c r="F380" s="509">
        <v>3645</v>
      </c>
      <c r="G380" s="545"/>
      <c r="H380" s="511">
        <v>740</v>
      </c>
      <c r="I380" s="509">
        <v>2006</v>
      </c>
      <c r="J380" s="545"/>
      <c r="K380" s="511">
        <v>129</v>
      </c>
      <c r="L380" s="509">
        <v>364</v>
      </c>
      <c r="M380" s="546"/>
    </row>
    <row r="381" spans="1:13" ht="12.75">
      <c r="A381" s="542">
        <f>A380+2</f>
        <v>8</v>
      </c>
      <c r="B381" s="543">
        <v>0.4</v>
      </c>
      <c r="C381" s="513">
        <f t="shared" si="15"/>
        <v>1.016</v>
      </c>
      <c r="D381" s="511"/>
      <c r="E381" s="511">
        <v>1700</v>
      </c>
      <c r="F381" s="509">
        <v>4586</v>
      </c>
      <c r="G381" s="545"/>
      <c r="H381" s="511">
        <v>854</v>
      </c>
      <c r="I381" s="509">
        <v>2312</v>
      </c>
      <c r="J381" s="545"/>
      <c r="K381" s="511">
        <v>149</v>
      </c>
      <c r="L381" s="509">
        <v>417</v>
      </c>
      <c r="M381" s="546"/>
    </row>
    <row r="382" spans="1:13" ht="13.5" thickBot="1">
      <c r="A382" s="565">
        <f>A381+2</f>
        <v>10</v>
      </c>
      <c r="B382" s="514">
        <v>0.5</v>
      </c>
      <c r="C382" s="566">
        <f t="shared" si="15"/>
        <v>1.27</v>
      </c>
      <c r="D382" s="567"/>
      <c r="E382" s="567">
        <v>1950</v>
      </c>
      <c r="F382" s="528">
        <v>5258</v>
      </c>
      <c r="G382" s="568"/>
      <c r="H382" s="567">
        <v>867</v>
      </c>
      <c r="I382" s="528">
        <v>2347</v>
      </c>
      <c r="J382" s="568"/>
      <c r="K382" s="567">
        <v>162</v>
      </c>
      <c r="L382" s="528">
        <v>452</v>
      </c>
      <c r="M382" s="569"/>
    </row>
    <row r="383" spans="1:13" ht="13.5" thickTop="1">
      <c r="A383" s="164"/>
      <c r="B383" s="28"/>
      <c r="C383" s="29"/>
      <c r="D383" s="30"/>
      <c r="E383" s="30"/>
      <c r="F383" s="30"/>
      <c r="G383" s="165"/>
      <c r="H383" s="30"/>
      <c r="I383" s="30"/>
      <c r="J383" s="165"/>
      <c r="K383" s="30"/>
      <c r="L383" s="30"/>
      <c r="M383" s="166"/>
    </row>
    <row r="384" spans="1:13" ht="12.75">
      <c r="A384" s="164"/>
      <c r="B384" s="28"/>
      <c r="C384" s="29"/>
      <c r="D384" s="30"/>
      <c r="E384" s="30"/>
      <c r="F384" s="30"/>
      <c r="G384" s="165"/>
      <c r="H384" s="30"/>
      <c r="I384" s="30"/>
      <c r="J384" s="165"/>
      <c r="K384" s="30"/>
      <c r="L384" s="30"/>
      <c r="M384" s="166"/>
    </row>
    <row r="385" spans="1:13" ht="13.5" thickBot="1">
      <c r="A385" s="118"/>
      <c r="B385" s="119"/>
      <c r="C385" s="120"/>
      <c r="D385" s="113"/>
      <c r="E385" s="113"/>
      <c r="F385" s="113"/>
      <c r="G385" s="113"/>
      <c r="H385" s="113"/>
      <c r="I385" s="113"/>
      <c r="J385" s="113"/>
      <c r="K385" s="113"/>
      <c r="L385" s="113"/>
      <c r="M385" s="121"/>
    </row>
    <row r="386" spans="1:13" ht="15.75" thickBot="1">
      <c r="A386" s="666" t="s">
        <v>165</v>
      </c>
      <c r="B386" s="667"/>
      <c r="C386" s="667"/>
      <c r="D386" s="667"/>
      <c r="E386" s="667"/>
      <c r="F386" s="667"/>
      <c r="G386" s="667"/>
      <c r="H386" s="667"/>
      <c r="I386" s="667"/>
      <c r="J386" s="667"/>
      <c r="K386" s="667"/>
      <c r="L386" s="667"/>
      <c r="M386" s="668"/>
    </row>
    <row r="387" spans="1:13" ht="15">
      <c r="A387" s="125"/>
      <c r="B387" s="126"/>
      <c r="C387" s="126"/>
      <c r="D387" s="126"/>
      <c r="E387" s="126"/>
      <c r="F387" s="126"/>
      <c r="G387" s="126"/>
      <c r="H387" s="126"/>
      <c r="I387" s="126"/>
      <c r="J387" s="126"/>
      <c r="K387" s="126"/>
      <c r="L387" s="126"/>
      <c r="M387" s="127"/>
    </row>
    <row r="388" spans="1:13" ht="15">
      <c r="A388" s="122"/>
      <c r="B388" s="83"/>
      <c r="C388" s="83"/>
      <c r="D388" s="83"/>
      <c r="E388" s="745" t="s">
        <v>126</v>
      </c>
      <c r="F388" s="745"/>
      <c r="G388" s="745"/>
      <c r="H388" s="745"/>
      <c r="I388" s="745"/>
      <c r="J388" s="83"/>
      <c r="K388" s="83"/>
      <c r="L388" s="83"/>
      <c r="M388" s="87"/>
    </row>
    <row r="389" spans="1:13" ht="12.75">
      <c r="A389" s="122"/>
      <c r="B389" s="83"/>
      <c r="C389" s="83"/>
      <c r="D389" s="83"/>
      <c r="E389" s="83"/>
      <c r="F389" s="83"/>
      <c r="G389" s="83"/>
      <c r="H389" s="83"/>
      <c r="I389" s="83"/>
      <c r="J389" s="83"/>
      <c r="K389" s="83"/>
      <c r="L389" s="83"/>
      <c r="M389" s="87"/>
    </row>
    <row r="390" spans="1:13" ht="12.75">
      <c r="A390" s="122"/>
      <c r="B390" s="83"/>
      <c r="C390" s="83"/>
      <c r="D390" s="83"/>
      <c r="E390" s="83"/>
      <c r="F390" s="83"/>
      <c r="G390" s="83"/>
      <c r="H390" s="83"/>
      <c r="I390" s="83"/>
      <c r="J390" s="83"/>
      <c r="K390" s="83"/>
      <c r="L390" s="83"/>
      <c r="M390" s="87"/>
    </row>
    <row r="391" spans="1:13" ht="12.75">
      <c r="A391" s="122"/>
      <c r="B391" s="83"/>
      <c r="C391" s="83"/>
      <c r="D391" s="83"/>
      <c r="E391" s="83"/>
      <c r="F391" s="83"/>
      <c r="G391" s="83"/>
      <c r="H391" s="83"/>
      <c r="I391" s="83"/>
      <c r="J391" s="83"/>
      <c r="K391" s="83"/>
      <c r="L391" s="83"/>
      <c r="M391" s="87"/>
    </row>
    <row r="392" spans="1:13" ht="12.75">
      <c r="A392" s="122"/>
      <c r="B392" s="83"/>
      <c r="C392" s="83"/>
      <c r="D392" s="83"/>
      <c r="E392" s="83"/>
      <c r="F392" s="83"/>
      <c r="G392" s="83"/>
      <c r="H392" s="83"/>
      <c r="I392" s="83"/>
      <c r="J392" s="83"/>
      <c r="K392" s="83"/>
      <c r="L392" s="83"/>
      <c r="M392" s="87"/>
    </row>
    <row r="393" spans="1:13" ht="12.75">
      <c r="A393" s="122"/>
      <c r="B393" s="83"/>
      <c r="C393" s="83"/>
      <c r="D393" s="83"/>
      <c r="E393" s="83"/>
      <c r="F393" s="83"/>
      <c r="G393" s="83"/>
      <c r="H393" s="83"/>
      <c r="I393" s="83"/>
      <c r="J393" s="83"/>
      <c r="K393" s="83"/>
      <c r="L393" s="83"/>
      <c r="M393" s="87"/>
    </row>
    <row r="394" spans="1:13" ht="12.75">
      <c r="A394" s="122"/>
      <c r="B394" s="83"/>
      <c r="C394" s="83"/>
      <c r="D394" s="83"/>
      <c r="E394" s="83"/>
      <c r="F394" s="83"/>
      <c r="G394" s="83"/>
      <c r="H394" s="83"/>
      <c r="I394" s="83"/>
      <c r="J394" s="83"/>
      <c r="K394" s="83"/>
      <c r="L394" s="83"/>
      <c r="M394" s="87"/>
    </row>
    <row r="395" spans="1:13" ht="12.75">
      <c r="A395" s="122"/>
      <c r="B395" s="83"/>
      <c r="C395" s="83"/>
      <c r="D395" s="83"/>
      <c r="E395" s="83"/>
      <c r="F395" s="83"/>
      <c r="G395" s="83"/>
      <c r="H395" s="83"/>
      <c r="I395" s="83"/>
      <c r="J395" s="83"/>
      <c r="K395" s="83"/>
      <c r="L395" s="83"/>
      <c r="M395" s="87"/>
    </row>
    <row r="396" spans="1:13" ht="12.75">
      <c r="A396" s="122"/>
      <c r="B396" s="83"/>
      <c r="C396" s="83"/>
      <c r="D396" s="83"/>
      <c r="E396" s="83"/>
      <c r="F396" s="83"/>
      <c r="G396" s="83"/>
      <c r="H396" s="83"/>
      <c r="I396" s="83"/>
      <c r="J396" s="83"/>
      <c r="K396" s="83"/>
      <c r="L396" s="83"/>
      <c r="M396" s="87"/>
    </row>
    <row r="397" spans="1:13" ht="12.75">
      <c r="A397" s="122"/>
      <c r="B397" s="83"/>
      <c r="C397" s="83"/>
      <c r="D397" s="83"/>
      <c r="E397" s="83"/>
      <c r="F397" s="83"/>
      <c r="G397" s="83"/>
      <c r="H397" s="83"/>
      <c r="I397" s="83"/>
      <c r="J397" s="83"/>
      <c r="K397" s="83"/>
      <c r="L397" s="83"/>
      <c r="M397" s="87"/>
    </row>
    <row r="398" spans="1:13" ht="12.75">
      <c r="A398" s="122"/>
      <c r="B398" s="83"/>
      <c r="C398" s="83"/>
      <c r="D398" s="83"/>
      <c r="E398" s="83"/>
      <c r="F398" s="83"/>
      <c r="G398" s="83"/>
      <c r="H398" s="83"/>
      <c r="I398" s="83"/>
      <c r="J398" s="83"/>
      <c r="K398" s="83"/>
      <c r="L398" s="83"/>
      <c r="M398" s="87"/>
    </row>
    <row r="399" spans="1:13" ht="12.75">
      <c r="A399" s="122"/>
      <c r="B399" s="83"/>
      <c r="C399" s="83"/>
      <c r="D399" s="83"/>
      <c r="E399" s="83"/>
      <c r="F399" s="83"/>
      <c r="G399" s="83"/>
      <c r="H399" s="83"/>
      <c r="I399" s="83"/>
      <c r="J399" s="83"/>
      <c r="K399" s="83"/>
      <c r="L399" s="83"/>
      <c r="M399" s="87"/>
    </row>
    <row r="400" spans="1:13" ht="12.75">
      <c r="A400" s="122"/>
      <c r="B400" s="83"/>
      <c r="C400" s="83"/>
      <c r="D400" s="83"/>
      <c r="E400" s="83"/>
      <c r="F400" s="83"/>
      <c r="G400" s="83"/>
      <c r="H400" s="83"/>
      <c r="I400" s="83"/>
      <c r="J400" s="83"/>
      <c r="K400" s="83"/>
      <c r="L400" s="83"/>
      <c r="M400" s="87"/>
    </row>
    <row r="401" spans="1:13" ht="12.75">
      <c r="A401" s="122"/>
      <c r="B401" s="83"/>
      <c r="C401" s="83"/>
      <c r="D401" s="83"/>
      <c r="E401" s="83"/>
      <c r="F401" s="83"/>
      <c r="G401" s="83"/>
      <c r="H401" s="83"/>
      <c r="I401" s="83"/>
      <c r="J401" s="83"/>
      <c r="K401" s="83"/>
      <c r="L401" s="83"/>
      <c r="M401" s="87"/>
    </row>
    <row r="402" spans="1:13" ht="12.75">
      <c r="A402" s="122"/>
      <c r="B402" s="83"/>
      <c r="C402" s="83"/>
      <c r="D402" s="83"/>
      <c r="E402" s="83"/>
      <c r="F402" s="83"/>
      <c r="G402" s="83"/>
      <c r="H402" s="83"/>
      <c r="I402" s="83"/>
      <c r="J402" s="83"/>
      <c r="K402" s="83"/>
      <c r="L402" s="83"/>
      <c r="M402" s="87"/>
    </row>
    <row r="403" spans="1:13" ht="12.75">
      <c r="A403" s="122"/>
      <c r="B403" s="83"/>
      <c r="C403" s="83"/>
      <c r="D403" s="83"/>
      <c r="E403" s="83"/>
      <c r="F403" s="83"/>
      <c r="G403" s="83"/>
      <c r="H403" s="83"/>
      <c r="I403" s="83"/>
      <c r="J403" s="83"/>
      <c r="K403" s="83"/>
      <c r="L403" s="83"/>
      <c r="M403" s="87"/>
    </row>
    <row r="404" spans="1:13" ht="12.75">
      <c r="A404" s="122"/>
      <c r="B404" s="83"/>
      <c r="C404" s="83"/>
      <c r="D404" s="83"/>
      <c r="E404" s="83"/>
      <c r="F404" s="83"/>
      <c r="G404" s="83"/>
      <c r="H404" s="83"/>
      <c r="I404" s="83"/>
      <c r="J404" s="83"/>
      <c r="K404" s="83"/>
      <c r="L404" s="83"/>
      <c r="M404" s="87"/>
    </row>
    <row r="405" spans="1:13" ht="12.75">
      <c r="A405" s="122"/>
      <c r="B405" s="83"/>
      <c r="C405" s="83"/>
      <c r="D405" s="83"/>
      <c r="E405" s="83"/>
      <c r="F405" s="83"/>
      <c r="G405" s="83"/>
      <c r="H405" s="83"/>
      <c r="I405" s="83"/>
      <c r="J405" s="83"/>
      <c r="K405" s="83"/>
      <c r="L405" s="83"/>
      <c r="M405" s="87"/>
    </row>
    <row r="406" spans="1:13" ht="12.75">
      <c r="A406" s="122"/>
      <c r="B406" s="83"/>
      <c r="C406" s="83"/>
      <c r="D406" s="83"/>
      <c r="E406" s="83"/>
      <c r="F406" s="83"/>
      <c r="G406" s="83"/>
      <c r="H406" s="83"/>
      <c r="I406" s="83"/>
      <c r="J406" s="83"/>
      <c r="K406" s="83"/>
      <c r="L406" s="83"/>
      <c r="M406" s="87"/>
    </row>
    <row r="407" spans="1:13" ht="12.75">
      <c r="A407" s="122"/>
      <c r="B407" s="83"/>
      <c r="C407" s="83"/>
      <c r="D407" s="83"/>
      <c r="E407" s="83"/>
      <c r="F407" s="83"/>
      <c r="G407" s="83"/>
      <c r="H407" s="83"/>
      <c r="I407" s="83"/>
      <c r="J407" s="83"/>
      <c r="K407" s="83"/>
      <c r="L407" s="83"/>
      <c r="M407" s="87"/>
    </row>
    <row r="408" spans="1:13" ht="12.75">
      <c r="A408" s="122"/>
      <c r="B408" s="83"/>
      <c r="C408" s="83"/>
      <c r="D408" s="83"/>
      <c r="E408" s="83"/>
      <c r="F408" s="83"/>
      <c r="G408" s="83"/>
      <c r="H408" s="83"/>
      <c r="I408" s="83"/>
      <c r="J408" s="83"/>
      <c r="K408" s="83"/>
      <c r="L408" s="83"/>
      <c r="M408" s="87"/>
    </row>
    <row r="409" spans="1:13" ht="12.75">
      <c r="A409" s="122"/>
      <c r="B409" s="83"/>
      <c r="C409" s="83"/>
      <c r="D409" s="83"/>
      <c r="E409" s="83"/>
      <c r="F409" s="83"/>
      <c r="G409" s="83"/>
      <c r="H409" s="83"/>
      <c r="I409" s="83"/>
      <c r="J409" s="83"/>
      <c r="K409" s="83"/>
      <c r="L409" s="83"/>
      <c r="M409" s="87"/>
    </row>
    <row r="410" spans="1:13" ht="12.75">
      <c r="A410" s="122"/>
      <c r="B410" s="83"/>
      <c r="C410" s="83"/>
      <c r="D410" s="83"/>
      <c r="E410" s="83"/>
      <c r="F410" s="83"/>
      <c r="G410" s="83"/>
      <c r="H410" s="83"/>
      <c r="I410" s="83"/>
      <c r="J410" s="83"/>
      <c r="K410" s="83"/>
      <c r="L410" s="83"/>
      <c r="M410" s="87"/>
    </row>
    <row r="411" spans="1:18" ht="12.75">
      <c r="A411" s="122"/>
      <c r="B411" s="83"/>
      <c r="C411" s="83"/>
      <c r="D411" s="83"/>
      <c r="E411" s="83"/>
      <c r="F411" s="83"/>
      <c r="G411" s="83"/>
      <c r="H411" s="83"/>
      <c r="I411" s="83"/>
      <c r="J411" s="83"/>
      <c r="K411" s="83"/>
      <c r="L411" s="83"/>
      <c r="M411" s="87"/>
      <c r="O411" s="32">
        <v>0</v>
      </c>
      <c r="P411" s="33">
        <v>0</v>
      </c>
      <c r="Q411" s="33">
        <f>P411</f>
        <v>0</v>
      </c>
      <c r="R411" s="34">
        <f>Q411</f>
        <v>0</v>
      </c>
    </row>
    <row r="412" spans="1:18" ht="12.75">
      <c r="A412" s="122"/>
      <c r="B412" s="83"/>
      <c r="C412" s="83"/>
      <c r="D412" s="83"/>
      <c r="E412" s="83"/>
      <c r="F412" s="83"/>
      <c r="G412" s="83"/>
      <c r="H412" s="83"/>
      <c r="I412" s="83"/>
      <c r="J412" s="83"/>
      <c r="K412" s="83"/>
      <c r="L412" s="83"/>
      <c r="M412" s="87"/>
      <c r="O412" s="35">
        <f aca="true" t="shared" si="16" ref="O412:O419">B375</f>
        <v>0.025</v>
      </c>
      <c r="P412" s="9">
        <f aca="true" t="shared" si="17" ref="P412:P419">F375</f>
        <v>73</v>
      </c>
      <c r="Q412" s="9">
        <f aca="true" t="shared" si="18" ref="Q412:Q419">I375</f>
        <v>60</v>
      </c>
      <c r="R412" s="36">
        <f aca="true" t="shared" si="19" ref="R412:R419">L375</f>
        <v>44</v>
      </c>
    </row>
    <row r="413" spans="1:18" ht="12.75">
      <c r="A413" s="122"/>
      <c r="B413" s="83"/>
      <c r="C413" s="83"/>
      <c r="D413" s="83"/>
      <c r="E413" s="83"/>
      <c r="F413" s="83"/>
      <c r="G413" s="83"/>
      <c r="H413" s="83"/>
      <c r="I413" s="83"/>
      <c r="J413" s="83"/>
      <c r="K413" s="83"/>
      <c r="L413" s="83"/>
      <c r="M413" s="87"/>
      <c r="O413" s="35">
        <f t="shared" si="16"/>
        <v>0.05</v>
      </c>
      <c r="P413" s="9">
        <f t="shared" si="17"/>
        <v>286</v>
      </c>
      <c r="Q413" s="9">
        <f t="shared" si="18"/>
        <v>178</v>
      </c>
      <c r="R413" s="36">
        <f t="shared" si="19"/>
        <v>73</v>
      </c>
    </row>
    <row r="414" spans="1:18" ht="12.75">
      <c r="A414" s="122"/>
      <c r="B414" s="83"/>
      <c r="C414" s="83"/>
      <c r="D414" s="83"/>
      <c r="E414" s="83"/>
      <c r="F414" s="83"/>
      <c r="G414" s="83"/>
      <c r="H414" s="83"/>
      <c r="I414" s="83"/>
      <c r="J414" s="83"/>
      <c r="K414" s="83"/>
      <c r="L414" s="83"/>
      <c r="M414" s="87"/>
      <c r="O414" s="35">
        <f t="shared" si="16"/>
        <v>0.075</v>
      </c>
      <c r="P414" s="9">
        <f t="shared" si="17"/>
        <v>616</v>
      </c>
      <c r="Q414" s="9">
        <f t="shared" si="18"/>
        <v>366</v>
      </c>
      <c r="R414" s="36">
        <f t="shared" si="19"/>
        <v>114</v>
      </c>
    </row>
    <row r="415" spans="1:18" ht="12.75">
      <c r="A415" s="122"/>
      <c r="B415" s="83"/>
      <c r="C415" s="83"/>
      <c r="D415" s="83"/>
      <c r="E415" s="83"/>
      <c r="F415" s="83"/>
      <c r="G415" s="83"/>
      <c r="H415" s="83"/>
      <c r="I415" s="83"/>
      <c r="J415" s="83"/>
      <c r="K415" s="83"/>
      <c r="L415" s="83"/>
      <c r="M415" s="87"/>
      <c r="O415" s="35">
        <f t="shared" si="16"/>
        <v>0.1</v>
      </c>
      <c r="P415" s="9">
        <f t="shared" si="17"/>
        <v>944</v>
      </c>
      <c r="Q415" s="9">
        <f t="shared" si="18"/>
        <v>546</v>
      </c>
      <c r="R415" s="36">
        <f t="shared" si="19"/>
        <v>149</v>
      </c>
    </row>
    <row r="416" spans="1:18" ht="12.75">
      <c r="A416" s="122"/>
      <c r="B416" s="83"/>
      <c r="C416" s="83"/>
      <c r="D416" s="83"/>
      <c r="E416" s="83"/>
      <c r="F416" s="83"/>
      <c r="G416" s="83"/>
      <c r="H416" s="83"/>
      <c r="I416" s="83"/>
      <c r="J416" s="83"/>
      <c r="K416" s="83"/>
      <c r="L416" s="83"/>
      <c r="M416" s="87"/>
      <c r="O416" s="35">
        <f t="shared" si="16"/>
        <v>0.2</v>
      </c>
      <c r="P416" s="9">
        <f t="shared" si="17"/>
        <v>2199</v>
      </c>
      <c r="Q416" s="9">
        <f t="shared" si="18"/>
        <v>1240</v>
      </c>
      <c r="R416" s="36">
        <f t="shared" si="19"/>
        <v>280</v>
      </c>
    </row>
    <row r="417" spans="1:18" ht="12.75">
      <c r="A417" s="122"/>
      <c r="B417" s="83"/>
      <c r="C417" s="83"/>
      <c r="D417" s="83"/>
      <c r="E417" s="83"/>
      <c r="F417" s="83"/>
      <c r="G417" s="83"/>
      <c r="H417" s="83"/>
      <c r="I417" s="83"/>
      <c r="J417" s="83"/>
      <c r="K417" s="83"/>
      <c r="L417" s="83"/>
      <c r="M417" s="87"/>
      <c r="O417" s="35">
        <f t="shared" si="16"/>
        <v>0.3</v>
      </c>
      <c r="P417" s="9">
        <f t="shared" si="17"/>
        <v>3645</v>
      </c>
      <c r="Q417" s="9">
        <f t="shared" si="18"/>
        <v>2006</v>
      </c>
      <c r="R417" s="36">
        <f t="shared" si="19"/>
        <v>364</v>
      </c>
    </row>
    <row r="418" spans="1:18" ht="12.75">
      <c r="A418" s="122"/>
      <c r="B418" s="83"/>
      <c r="C418" s="83"/>
      <c r="D418" s="83"/>
      <c r="E418" s="83"/>
      <c r="F418" s="83"/>
      <c r="G418" s="83"/>
      <c r="H418" s="83"/>
      <c r="I418" s="83"/>
      <c r="J418" s="83"/>
      <c r="K418" s="83"/>
      <c r="L418" s="83"/>
      <c r="M418" s="87"/>
      <c r="O418" s="35">
        <f t="shared" si="16"/>
        <v>0.4</v>
      </c>
      <c r="P418" s="9">
        <f t="shared" si="17"/>
        <v>4586</v>
      </c>
      <c r="Q418" s="9">
        <f t="shared" si="18"/>
        <v>2312</v>
      </c>
      <c r="R418" s="36">
        <f t="shared" si="19"/>
        <v>417</v>
      </c>
    </row>
    <row r="419" spans="1:18" ht="12.75">
      <c r="A419" s="122"/>
      <c r="B419" s="83"/>
      <c r="C419" s="83"/>
      <c r="D419" s="83"/>
      <c r="E419" s="83"/>
      <c r="F419" s="83"/>
      <c r="G419" s="83"/>
      <c r="H419" s="83"/>
      <c r="I419" s="83"/>
      <c r="J419" s="83"/>
      <c r="K419" s="83"/>
      <c r="L419" s="83"/>
      <c r="M419" s="87"/>
      <c r="O419" s="37">
        <f t="shared" si="16"/>
        <v>0.5</v>
      </c>
      <c r="P419" s="38">
        <f t="shared" si="17"/>
        <v>5258</v>
      </c>
      <c r="Q419" s="38">
        <f t="shared" si="18"/>
        <v>2347</v>
      </c>
      <c r="R419" s="39">
        <f t="shared" si="19"/>
        <v>452</v>
      </c>
    </row>
    <row r="420" spans="1:13" ht="12.75">
      <c r="A420" s="122"/>
      <c r="B420" s="83"/>
      <c r="C420" s="83"/>
      <c r="D420" s="83"/>
      <c r="E420" s="83"/>
      <c r="F420" s="83"/>
      <c r="G420" s="83"/>
      <c r="H420" s="83"/>
      <c r="I420" s="83"/>
      <c r="J420" s="83"/>
      <c r="K420" s="83"/>
      <c r="L420" s="83"/>
      <c r="M420" s="87"/>
    </row>
    <row r="421" spans="1:13" ht="12.75">
      <c r="A421" s="122"/>
      <c r="B421" s="83"/>
      <c r="C421" s="83"/>
      <c r="D421" s="83"/>
      <c r="E421" s="83"/>
      <c r="F421" s="83"/>
      <c r="G421" s="83"/>
      <c r="H421" s="83"/>
      <c r="I421" s="83"/>
      <c r="J421" s="83"/>
      <c r="K421" s="83"/>
      <c r="L421" s="83"/>
      <c r="M421" s="87"/>
    </row>
    <row r="422" spans="1:13" ht="12.75">
      <c r="A422" s="122"/>
      <c r="B422" s="83"/>
      <c r="C422" s="83"/>
      <c r="D422" s="83"/>
      <c r="E422" s="83"/>
      <c r="F422" s="83"/>
      <c r="G422" s="83"/>
      <c r="H422" s="83"/>
      <c r="I422" s="83"/>
      <c r="J422" s="83"/>
      <c r="K422" s="83"/>
      <c r="L422" s="83"/>
      <c r="M422" s="87"/>
    </row>
    <row r="423" spans="1:17" ht="12.75">
      <c r="A423" s="122"/>
      <c r="B423" s="83"/>
      <c r="C423" s="83"/>
      <c r="D423" s="68"/>
      <c r="E423" s="68"/>
      <c r="F423" s="68"/>
      <c r="G423" s="68"/>
      <c r="H423" s="68"/>
      <c r="I423" s="68"/>
      <c r="J423" s="68"/>
      <c r="K423" s="68"/>
      <c r="L423" s="68"/>
      <c r="M423" s="87"/>
      <c r="O423" s="40"/>
      <c r="P423" s="33"/>
      <c r="Q423" s="34"/>
    </row>
    <row r="424" spans="1:17" ht="12.75">
      <c r="A424" s="122"/>
      <c r="B424" s="83"/>
      <c r="C424" s="83"/>
      <c r="D424" s="68"/>
      <c r="E424" s="68"/>
      <c r="F424" s="68"/>
      <c r="G424" s="68"/>
      <c r="H424" s="68"/>
      <c r="I424" s="68"/>
      <c r="J424" s="68"/>
      <c r="K424" s="68"/>
      <c r="L424" s="68"/>
      <c r="M424" s="87"/>
      <c r="O424" s="41" t="s">
        <v>134</v>
      </c>
      <c r="P424" s="9" t="s">
        <v>136</v>
      </c>
      <c r="Q424" s="36" t="s">
        <v>135</v>
      </c>
    </row>
    <row r="425" spans="1:17" ht="12.75">
      <c r="A425" s="122"/>
      <c r="B425" s="83"/>
      <c r="C425" s="83"/>
      <c r="D425" s="68"/>
      <c r="E425" s="68"/>
      <c r="F425" s="68"/>
      <c r="G425" s="68"/>
      <c r="H425" s="68"/>
      <c r="I425" s="68"/>
      <c r="J425" s="68"/>
      <c r="K425" s="68"/>
      <c r="L425" s="68"/>
      <c r="M425" s="87"/>
      <c r="O425" s="41"/>
      <c r="P425" s="42">
        <f>P426-2</f>
        <v>12.9</v>
      </c>
      <c r="Q425" s="43">
        <v>1.2</v>
      </c>
    </row>
    <row r="426" spans="1:17" ht="12.75">
      <c r="A426" s="122"/>
      <c r="B426" s="83"/>
      <c r="C426" s="83"/>
      <c r="D426" s="68"/>
      <c r="E426" s="68"/>
      <c r="F426" s="68"/>
      <c r="G426" s="68"/>
      <c r="H426" s="68"/>
      <c r="I426" s="68"/>
      <c r="J426" s="68"/>
      <c r="K426" s="557" t="s">
        <v>139</v>
      </c>
      <c r="L426" s="83"/>
      <c r="M426" s="87"/>
      <c r="O426" s="41" t="s">
        <v>131</v>
      </c>
      <c r="P426" s="44">
        <f>MIN(M378:M379)</f>
        <v>14.9</v>
      </c>
      <c r="Q426" s="45">
        <f>K361</f>
        <v>1.653807835060061</v>
      </c>
    </row>
    <row r="427" spans="1:18" ht="12.75">
      <c r="A427" s="122"/>
      <c r="B427" s="83"/>
      <c r="C427" s="83"/>
      <c r="D427" s="83"/>
      <c r="E427" s="83"/>
      <c r="F427" s="83"/>
      <c r="G427" s="83"/>
      <c r="H427" s="83"/>
      <c r="I427" s="83"/>
      <c r="J427" s="83"/>
      <c r="K427" s="83"/>
      <c r="L427" s="83"/>
      <c r="M427" s="87"/>
      <c r="O427" s="41" t="s">
        <v>132</v>
      </c>
      <c r="P427" s="44">
        <f>MIN(J378:J379)</f>
        <v>54.6</v>
      </c>
      <c r="Q427" s="45">
        <f>H361</f>
        <v>1.7725135333516837</v>
      </c>
      <c r="R427" s="169">
        <v>4</v>
      </c>
    </row>
    <row r="428" spans="1:17" ht="12.75">
      <c r="A428" s="122"/>
      <c r="B428" s="83"/>
      <c r="C428" s="83"/>
      <c r="D428" s="83"/>
      <c r="E428" s="83"/>
      <c r="F428" s="83"/>
      <c r="G428" s="83"/>
      <c r="H428" s="83"/>
      <c r="I428" s="83"/>
      <c r="J428" s="83"/>
      <c r="K428" s="558" t="s">
        <v>141</v>
      </c>
      <c r="L428" s="560">
        <f>(MIN(G378:G382))/100</f>
        <v>0.9440000000000001</v>
      </c>
      <c r="M428" s="561" t="s">
        <v>23</v>
      </c>
      <c r="O428" s="41" t="s">
        <v>133</v>
      </c>
      <c r="P428" s="44">
        <f>MIN(G378:G379)</f>
        <v>94.4</v>
      </c>
      <c r="Q428" s="45">
        <f>E361</f>
        <v>1.8716424552592266</v>
      </c>
    </row>
    <row r="429" spans="1:17" ht="12.75">
      <c r="A429" s="122"/>
      <c r="B429" s="83"/>
      <c r="C429" s="83"/>
      <c r="D429" s="83"/>
      <c r="E429" s="83"/>
      <c r="F429" s="83"/>
      <c r="G429" s="83"/>
      <c r="H429" s="83"/>
      <c r="I429" s="83"/>
      <c r="J429" s="83"/>
      <c r="K429" s="9"/>
      <c r="L429" s="9"/>
      <c r="M429" s="76"/>
      <c r="O429" s="46"/>
      <c r="P429" s="47">
        <f>P428+2</f>
        <v>96.4</v>
      </c>
      <c r="Q429" s="48">
        <v>2.2</v>
      </c>
    </row>
    <row r="430" spans="1:13" ht="12.75">
      <c r="A430" s="122"/>
      <c r="B430" s="83"/>
      <c r="C430" s="83"/>
      <c r="D430" s="83"/>
      <c r="E430" s="83"/>
      <c r="F430" s="83"/>
      <c r="G430" s="83"/>
      <c r="H430" s="83"/>
      <c r="I430" s="83"/>
      <c r="J430" s="83"/>
      <c r="K430" s="9"/>
      <c r="L430" s="9"/>
      <c r="M430" s="76"/>
    </row>
    <row r="431" spans="1:16" ht="12.75">
      <c r="A431" s="122"/>
      <c r="B431" s="83"/>
      <c r="C431" s="83"/>
      <c r="D431" s="83"/>
      <c r="E431" s="83"/>
      <c r="F431" s="83"/>
      <c r="G431" s="83"/>
      <c r="H431" s="83"/>
      <c r="I431" s="83"/>
      <c r="J431" s="83"/>
      <c r="K431" s="83"/>
      <c r="L431" s="83"/>
      <c r="M431" s="87"/>
      <c r="O431" s="40" t="s">
        <v>137</v>
      </c>
      <c r="P431" s="34"/>
    </row>
    <row r="432" spans="1:16" ht="12.75">
      <c r="A432" s="122"/>
      <c r="B432" s="83"/>
      <c r="C432" s="83"/>
      <c r="D432" s="83"/>
      <c r="E432" s="83"/>
      <c r="F432" s="83"/>
      <c r="G432" s="83"/>
      <c r="H432" s="83"/>
      <c r="I432" s="83"/>
      <c r="J432" s="83"/>
      <c r="K432" s="557" t="s">
        <v>140</v>
      </c>
      <c r="L432" s="83"/>
      <c r="M432" s="87"/>
      <c r="O432" s="41"/>
      <c r="P432" s="36"/>
    </row>
    <row r="433" spans="1:16" ht="12.75">
      <c r="A433" s="122"/>
      <c r="B433" s="83"/>
      <c r="C433" s="83"/>
      <c r="D433" s="83"/>
      <c r="E433" s="83"/>
      <c r="F433" s="83"/>
      <c r="G433" s="83"/>
      <c r="H433" s="83"/>
      <c r="I433" s="83"/>
      <c r="J433" s="83"/>
      <c r="K433" s="83"/>
      <c r="L433" s="83"/>
      <c r="M433" s="87"/>
      <c r="O433" s="49">
        <f>P425-1</f>
        <v>11.9</v>
      </c>
      <c r="P433" s="45">
        <f>J340/1000</f>
        <v>0.00189</v>
      </c>
    </row>
    <row r="434" spans="1:16" ht="12.75">
      <c r="A434" s="122"/>
      <c r="B434" s="83"/>
      <c r="C434" s="83"/>
      <c r="D434" s="83"/>
      <c r="E434" s="83"/>
      <c r="F434" s="83"/>
      <c r="G434" s="83"/>
      <c r="H434" s="83"/>
      <c r="I434" s="83"/>
      <c r="J434" s="83"/>
      <c r="K434" s="558" t="s">
        <v>141</v>
      </c>
      <c r="L434" s="560">
        <f>L428*0.95</f>
        <v>0.8968</v>
      </c>
      <c r="M434" s="561" t="s">
        <v>23</v>
      </c>
      <c r="O434" s="49">
        <f>P429+1</f>
        <v>97.4</v>
      </c>
      <c r="P434" s="45">
        <f>P433</f>
        <v>0.00189</v>
      </c>
    </row>
    <row r="435" spans="1:16" ht="12.75">
      <c r="A435" s="122"/>
      <c r="B435" s="83"/>
      <c r="C435" s="83"/>
      <c r="D435" s="83"/>
      <c r="E435" s="83"/>
      <c r="F435" s="83"/>
      <c r="G435" s="83"/>
      <c r="H435" s="83"/>
      <c r="I435" s="83"/>
      <c r="J435" s="83"/>
      <c r="K435" s="9"/>
      <c r="L435" s="9"/>
      <c r="M435" s="76"/>
      <c r="O435" s="41"/>
      <c r="P435" s="36"/>
    </row>
    <row r="436" spans="1:16" ht="12.75">
      <c r="A436" s="122"/>
      <c r="B436" s="83"/>
      <c r="C436" s="83"/>
      <c r="D436" s="83"/>
      <c r="E436" s="83"/>
      <c r="F436" s="83"/>
      <c r="G436" s="83"/>
      <c r="H436" s="83"/>
      <c r="I436" s="83"/>
      <c r="J436" s="83"/>
      <c r="K436" s="83"/>
      <c r="L436" s="83"/>
      <c r="M436" s="87"/>
      <c r="O436" s="41" t="s">
        <v>138</v>
      </c>
      <c r="P436" s="36"/>
    </row>
    <row r="437" spans="1:16" ht="12.75">
      <c r="A437" s="122"/>
      <c r="B437" s="83"/>
      <c r="C437" s="83"/>
      <c r="D437" s="83"/>
      <c r="E437" s="83"/>
      <c r="F437" s="83"/>
      <c r="G437" s="83"/>
      <c r="H437" s="83"/>
      <c r="I437" s="83"/>
      <c r="J437" s="83"/>
      <c r="K437" s="559" t="s">
        <v>168</v>
      </c>
      <c r="L437" s="576">
        <f>J369</f>
        <v>0.8157986111111117</v>
      </c>
      <c r="M437" s="87"/>
      <c r="O437" s="41"/>
      <c r="P437" s="36"/>
    </row>
    <row r="438" spans="1:16" ht="12.75">
      <c r="A438" s="122"/>
      <c r="B438" s="83"/>
      <c r="C438" s="83"/>
      <c r="D438" s="83"/>
      <c r="E438" s="83"/>
      <c r="F438" s="83"/>
      <c r="G438" s="83"/>
      <c r="H438" s="83"/>
      <c r="I438" s="83"/>
      <c r="J438" s="83"/>
      <c r="K438" s="83"/>
      <c r="L438" s="83"/>
      <c r="M438" s="87"/>
      <c r="O438" s="49">
        <f>O433</f>
        <v>11.9</v>
      </c>
      <c r="P438" s="45">
        <f>0.95*P433</f>
        <v>0.0017954999999999998</v>
      </c>
    </row>
    <row r="439" spans="1:16" ht="12.75">
      <c r="A439" s="122"/>
      <c r="B439" s="83"/>
      <c r="C439" s="83"/>
      <c r="D439" s="83"/>
      <c r="E439" s="83"/>
      <c r="F439" s="83"/>
      <c r="G439" s="83"/>
      <c r="H439" s="83"/>
      <c r="I439" s="83"/>
      <c r="J439" s="83"/>
      <c r="K439" s="83"/>
      <c r="L439" s="83"/>
      <c r="M439" s="87"/>
      <c r="O439" s="49"/>
      <c r="P439" s="45"/>
    </row>
    <row r="440" spans="1:16" ht="13.5" thickBot="1">
      <c r="A440" s="128"/>
      <c r="B440" s="123"/>
      <c r="C440" s="123"/>
      <c r="D440" s="123"/>
      <c r="E440" s="123"/>
      <c r="F440" s="579" t="s">
        <v>205</v>
      </c>
      <c r="G440" s="577">
        <f>L434</f>
        <v>0.8968</v>
      </c>
      <c r="H440" s="123"/>
      <c r="I440" s="123"/>
      <c r="J440" s="123"/>
      <c r="K440" s="123"/>
      <c r="L440" s="123"/>
      <c r="M440" s="124"/>
      <c r="O440" s="50">
        <f>O434</f>
        <v>97.4</v>
      </c>
      <c r="P440" s="51">
        <f>0.95*P434</f>
        <v>0.0017954999999999998</v>
      </c>
    </row>
    <row r="441" spans="1:13" ht="13.5" thickBot="1">
      <c r="A441" s="637" t="s">
        <v>237</v>
      </c>
      <c r="B441" s="638"/>
      <c r="C441" s="638"/>
      <c r="D441" s="638"/>
      <c r="E441" s="638"/>
      <c r="F441" s="638"/>
      <c r="G441" s="638"/>
      <c r="H441" s="638"/>
      <c r="I441" s="638"/>
      <c r="J441" s="638"/>
      <c r="K441" s="638"/>
      <c r="L441" s="638"/>
      <c r="M441" s="639"/>
    </row>
    <row r="442" spans="1:13" ht="13.5" thickBot="1">
      <c r="A442" s="69"/>
      <c r="B442" s="6"/>
      <c r="C442" s="6"/>
      <c r="D442" s="9"/>
      <c r="E442" s="9"/>
      <c r="F442" s="9"/>
      <c r="G442" s="9"/>
      <c r="H442" s="9"/>
      <c r="I442" s="9"/>
      <c r="J442" s="9"/>
      <c r="K442" s="9"/>
      <c r="L442" s="9"/>
      <c r="M442" s="76"/>
    </row>
    <row r="443" spans="1:13" ht="13.5" thickTop="1">
      <c r="A443" s="723" t="s">
        <v>2</v>
      </c>
      <c r="B443" s="724"/>
      <c r="C443" s="725"/>
      <c r="D443" s="177" t="s">
        <v>3</v>
      </c>
      <c r="E443" s="9"/>
      <c r="F443" s="9"/>
      <c r="G443" s="9"/>
      <c r="H443" s="9"/>
      <c r="I443" s="9"/>
      <c r="J443" s="9"/>
      <c r="K443" s="9"/>
      <c r="L443" s="9"/>
      <c r="M443" s="76"/>
    </row>
    <row r="444" spans="1:13" ht="12.75">
      <c r="A444" s="726" t="s">
        <v>1</v>
      </c>
      <c r="B444" s="727"/>
      <c r="C444" s="728"/>
      <c r="D444" s="178" t="s">
        <v>210</v>
      </c>
      <c r="E444" s="12"/>
      <c r="F444" s="9"/>
      <c r="G444" s="9"/>
      <c r="H444" s="9"/>
      <c r="I444" s="9"/>
      <c r="J444" s="9"/>
      <c r="K444" s="9"/>
      <c r="L444" s="9"/>
      <c r="M444" s="76"/>
    </row>
    <row r="445" spans="1:13" ht="13.5" thickBot="1">
      <c r="A445" s="729" t="s">
        <v>4</v>
      </c>
      <c r="B445" s="730"/>
      <c r="C445" s="731"/>
      <c r="D445" s="456" t="s">
        <v>69</v>
      </c>
      <c r="E445" s="6"/>
      <c r="F445" s="12"/>
      <c r="G445" s="9"/>
      <c r="H445" s="9"/>
      <c r="I445" s="9"/>
      <c r="J445" s="9"/>
      <c r="K445" s="9"/>
      <c r="L445" s="9"/>
      <c r="M445" s="76"/>
    </row>
    <row r="446" spans="1:13" ht="13.5" thickTop="1">
      <c r="A446" s="82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76"/>
    </row>
    <row r="447" spans="1:13" ht="13.5" thickBot="1">
      <c r="A447" s="82"/>
      <c r="B447" s="9"/>
      <c r="C447" s="9"/>
      <c r="D447" s="716" t="s">
        <v>78</v>
      </c>
      <c r="E447" s="716"/>
      <c r="F447" s="716"/>
      <c r="G447" s="716"/>
      <c r="H447" s="716"/>
      <c r="I447" s="716"/>
      <c r="J447" s="716"/>
      <c r="K447" s="9"/>
      <c r="L447" s="9"/>
      <c r="M447" s="76"/>
    </row>
    <row r="448" spans="1:13" ht="14.25" thickBot="1">
      <c r="A448" s="82"/>
      <c r="B448" s="9"/>
      <c r="C448" s="9"/>
      <c r="D448" s="307" t="s">
        <v>79</v>
      </c>
      <c r="E448" s="307" t="s">
        <v>80</v>
      </c>
      <c r="F448" s="307" t="s">
        <v>81</v>
      </c>
      <c r="G448" s="717" t="s">
        <v>115</v>
      </c>
      <c r="H448" s="718"/>
      <c r="I448" s="457" t="s">
        <v>100</v>
      </c>
      <c r="J448" s="308" t="s">
        <v>99</v>
      </c>
      <c r="K448" s="9"/>
      <c r="L448" s="9"/>
      <c r="M448" s="76"/>
    </row>
    <row r="449" spans="1:13" ht="13.5" thickBot="1">
      <c r="A449" s="82"/>
      <c r="B449" s="9"/>
      <c r="C449" s="9"/>
      <c r="D449" s="297">
        <v>5</v>
      </c>
      <c r="E449" s="574">
        <f>limites!F233</f>
        <v>21.232661845914024</v>
      </c>
      <c r="F449" s="574">
        <f>limites!F234</f>
        <v>16.42521341086237</v>
      </c>
      <c r="G449" s="720" t="s">
        <v>215</v>
      </c>
      <c r="H449" s="721"/>
      <c r="I449" s="573">
        <f>compactacion!F249</f>
        <v>13.6</v>
      </c>
      <c r="J449" s="572">
        <f>compactacion!F248</f>
        <v>1.762</v>
      </c>
      <c r="K449" s="9"/>
      <c r="L449" s="9"/>
      <c r="M449" s="76"/>
    </row>
    <row r="450" spans="1:13" ht="12.75">
      <c r="A450" s="82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76"/>
    </row>
    <row r="451" spans="1:13" ht="13.5" thickBot="1">
      <c r="A451" s="82"/>
      <c r="B451" s="9"/>
      <c r="C451" s="9"/>
      <c r="D451" s="722" t="s">
        <v>101</v>
      </c>
      <c r="E451" s="722"/>
      <c r="F451" s="722"/>
      <c r="G451" s="722"/>
      <c r="H451" s="722"/>
      <c r="I451" s="722"/>
      <c r="J451" s="722"/>
      <c r="K451" s="9"/>
      <c r="L451" s="9"/>
      <c r="M451" s="76"/>
    </row>
    <row r="452" spans="1:13" ht="13.5" thickTop="1">
      <c r="A452" s="463" t="s">
        <v>142</v>
      </c>
      <c r="B452" s="464"/>
      <c r="C452" s="465"/>
      <c r="D452" s="466"/>
      <c r="E452" s="683">
        <v>1</v>
      </c>
      <c r="F452" s="684"/>
      <c r="G452" s="686"/>
      <c r="H452" s="683">
        <v>4</v>
      </c>
      <c r="I452" s="684"/>
      <c r="J452" s="686"/>
      <c r="K452" s="683">
        <v>3</v>
      </c>
      <c r="L452" s="684"/>
      <c r="M452" s="685"/>
    </row>
    <row r="453" spans="1:13" ht="12.75">
      <c r="A453" s="467" t="s">
        <v>143</v>
      </c>
      <c r="B453" s="468"/>
      <c r="C453" s="469"/>
      <c r="D453" s="470"/>
      <c r="E453" s="687">
        <v>5</v>
      </c>
      <c r="F453" s="688"/>
      <c r="G453" s="689"/>
      <c r="H453" s="687">
        <v>5</v>
      </c>
      <c r="I453" s="688"/>
      <c r="J453" s="689"/>
      <c r="K453" s="687">
        <v>5</v>
      </c>
      <c r="L453" s="688"/>
      <c r="M453" s="719"/>
    </row>
    <row r="454" spans="1:13" ht="12.75">
      <c r="A454" s="471" t="s">
        <v>144</v>
      </c>
      <c r="B454" s="472"/>
      <c r="C454" s="473"/>
      <c r="D454" s="474"/>
      <c r="E454" s="710">
        <v>56</v>
      </c>
      <c r="F454" s="711"/>
      <c r="G454" s="712"/>
      <c r="H454" s="710">
        <v>25</v>
      </c>
      <c r="I454" s="711"/>
      <c r="J454" s="712"/>
      <c r="K454" s="710">
        <v>12</v>
      </c>
      <c r="L454" s="711"/>
      <c r="M454" s="713"/>
    </row>
    <row r="455" spans="1:13" ht="12.75">
      <c r="A455" s="475" t="s">
        <v>145</v>
      </c>
      <c r="B455" s="476"/>
      <c r="C455" s="477"/>
      <c r="D455" s="478"/>
      <c r="E455" s="714" t="s">
        <v>83</v>
      </c>
      <c r="F455" s="715"/>
      <c r="G455" s="480" t="s">
        <v>116</v>
      </c>
      <c r="H455" s="714" t="s">
        <v>83</v>
      </c>
      <c r="I455" s="715"/>
      <c r="J455" s="480" t="s">
        <v>116</v>
      </c>
      <c r="K455" s="714" t="s">
        <v>83</v>
      </c>
      <c r="L455" s="715"/>
      <c r="M455" s="481" t="s">
        <v>116</v>
      </c>
    </row>
    <row r="456" spans="1:13" ht="12.75">
      <c r="A456" s="482" t="s">
        <v>146</v>
      </c>
      <c r="B456" s="483"/>
      <c r="C456" s="484"/>
      <c r="D456" s="485"/>
      <c r="E456" s="708">
        <v>8490</v>
      </c>
      <c r="F456" s="709"/>
      <c r="G456" s="487">
        <v>8612</v>
      </c>
      <c r="H456" s="708">
        <v>8375</v>
      </c>
      <c r="I456" s="709"/>
      <c r="J456" s="487">
        <v>8560</v>
      </c>
      <c r="K456" s="708">
        <v>8174</v>
      </c>
      <c r="L456" s="709"/>
      <c r="M456" s="488">
        <v>8440</v>
      </c>
    </row>
    <row r="457" spans="1:13" ht="12.75">
      <c r="A457" s="467" t="s">
        <v>147</v>
      </c>
      <c r="B457" s="468"/>
      <c r="C457" s="469"/>
      <c r="D457" s="470"/>
      <c r="E457" s="688">
        <v>4132</v>
      </c>
      <c r="F457" s="689"/>
      <c r="G457" s="489">
        <v>4132</v>
      </c>
      <c r="H457" s="687">
        <v>4190</v>
      </c>
      <c r="I457" s="689"/>
      <c r="J457" s="489">
        <v>4190</v>
      </c>
      <c r="K457" s="687">
        <v>4172</v>
      </c>
      <c r="L457" s="689"/>
      <c r="M457" s="490">
        <v>4172</v>
      </c>
    </row>
    <row r="458" spans="1:13" ht="12.75">
      <c r="A458" s="467" t="s">
        <v>153</v>
      </c>
      <c r="B458" s="468"/>
      <c r="C458" s="469"/>
      <c r="D458" s="470"/>
      <c r="E458" s="701">
        <f>E456-E457</f>
        <v>4358</v>
      </c>
      <c r="F458" s="702"/>
      <c r="G458" s="489">
        <f>G456-G457</f>
        <v>4480</v>
      </c>
      <c r="H458" s="701">
        <f>H456-H457</f>
        <v>4185</v>
      </c>
      <c r="I458" s="702"/>
      <c r="J458" s="489">
        <f>J456-J457</f>
        <v>4370</v>
      </c>
      <c r="K458" s="701">
        <f>K456-K457</f>
        <v>4002</v>
      </c>
      <c r="L458" s="702"/>
      <c r="M458" s="490">
        <f>M456-M457</f>
        <v>4268</v>
      </c>
    </row>
    <row r="459" spans="1:13" ht="12.75">
      <c r="A459" s="467" t="s">
        <v>148</v>
      </c>
      <c r="B459" s="468"/>
      <c r="C459" s="469"/>
      <c r="D459" s="470"/>
      <c r="E459" s="701">
        <v>2121</v>
      </c>
      <c r="F459" s="689"/>
      <c r="G459" s="491">
        <v>2121</v>
      </c>
      <c r="H459" s="703">
        <v>2112</v>
      </c>
      <c r="I459" s="689"/>
      <c r="J459" s="491">
        <v>2112</v>
      </c>
      <c r="K459" s="703">
        <v>2112</v>
      </c>
      <c r="L459" s="689"/>
      <c r="M459" s="492">
        <v>2112</v>
      </c>
    </row>
    <row r="460" spans="1:13" ht="13.5">
      <c r="A460" s="471" t="s">
        <v>166</v>
      </c>
      <c r="B460" s="472"/>
      <c r="C460" s="473"/>
      <c r="D460" s="474"/>
      <c r="E460" s="704">
        <f>E458/E459</f>
        <v>2.0546911834040547</v>
      </c>
      <c r="F460" s="705"/>
      <c r="G460" s="493">
        <f>G458/G459</f>
        <v>2.112211221122112</v>
      </c>
      <c r="H460" s="704">
        <f>H458/H459</f>
        <v>1.9815340909090908</v>
      </c>
      <c r="I460" s="705"/>
      <c r="J460" s="493">
        <f>J458/J459</f>
        <v>2.069128787878788</v>
      </c>
      <c r="K460" s="704">
        <f>K458/K459</f>
        <v>1.8948863636363635</v>
      </c>
      <c r="L460" s="705"/>
      <c r="M460" s="494">
        <f>M458/M459</f>
        <v>2.0208333333333335</v>
      </c>
    </row>
    <row r="461" spans="1:13" ht="12.75">
      <c r="A461" s="475" t="s">
        <v>149</v>
      </c>
      <c r="B461" s="476"/>
      <c r="C461" s="477"/>
      <c r="D461" s="478"/>
      <c r="E461" s="479" t="s">
        <v>82</v>
      </c>
      <c r="F461" s="495" t="s">
        <v>117</v>
      </c>
      <c r="G461" s="495" t="s">
        <v>129</v>
      </c>
      <c r="H461" s="495" t="s">
        <v>82</v>
      </c>
      <c r="I461" s="495" t="s">
        <v>117</v>
      </c>
      <c r="J461" s="495" t="s">
        <v>129</v>
      </c>
      <c r="K461" s="495" t="s">
        <v>82</v>
      </c>
      <c r="L461" s="495" t="s">
        <v>117</v>
      </c>
      <c r="M461" s="496" t="s">
        <v>129</v>
      </c>
    </row>
    <row r="462" spans="1:13" ht="12.75">
      <c r="A462" s="482" t="s">
        <v>154</v>
      </c>
      <c r="B462" s="483"/>
      <c r="C462" s="484"/>
      <c r="D462" s="485"/>
      <c r="E462" s="486" t="s">
        <v>173</v>
      </c>
      <c r="F462" s="487"/>
      <c r="G462" s="487" t="s">
        <v>204</v>
      </c>
      <c r="H462" s="487" t="s">
        <v>199</v>
      </c>
      <c r="I462" s="487"/>
      <c r="J462" s="487" t="s">
        <v>171</v>
      </c>
      <c r="K462" s="487" t="s">
        <v>174</v>
      </c>
      <c r="L462" s="487"/>
      <c r="M462" s="488" t="s">
        <v>172</v>
      </c>
    </row>
    <row r="463" spans="1:13" ht="12.75">
      <c r="A463" s="467" t="s">
        <v>155</v>
      </c>
      <c r="B463" s="468"/>
      <c r="C463" s="469"/>
      <c r="D463" s="470"/>
      <c r="E463" s="497">
        <v>139.5</v>
      </c>
      <c r="F463" s="497"/>
      <c r="G463" s="498">
        <v>117.6</v>
      </c>
      <c r="H463" s="498">
        <v>133.4</v>
      </c>
      <c r="I463" s="498"/>
      <c r="J463" s="498">
        <v>135.5</v>
      </c>
      <c r="K463" s="498">
        <v>112</v>
      </c>
      <c r="L463" s="498"/>
      <c r="M463" s="499">
        <v>145.4</v>
      </c>
    </row>
    <row r="464" spans="1:13" ht="12.75">
      <c r="A464" s="467" t="s">
        <v>156</v>
      </c>
      <c r="B464" s="468"/>
      <c r="C464" s="469"/>
      <c r="D464" s="470"/>
      <c r="E464" s="497">
        <v>132.1</v>
      </c>
      <c r="F464" s="498"/>
      <c r="G464" s="498">
        <v>111.8</v>
      </c>
      <c r="H464" s="498">
        <v>127.3</v>
      </c>
      <c r="I464" s="498"/>
      <c r="J464" s="498">
        <v>128.7</v>
      </c>
      <c r="K464" s="498">
        <v>107.8</v>
      </c>
      <c r="L464" s="498"/>
      <c r="M464" s="499">
        <v>135.5</v>
      </c>
    </row>
    <row r="465" spans="1:13" ht="12.75">
      <c r="A465" s="467" t="s">
        <v>150</v>
      </c>
      <c r="B465" s="468"/>
      <c r="C465" s="469"/>
      <c r="D465" s="470"/>
      <c r="E465" s="497">
        <f>E463-E464</f>
        <v>7.400000000000006</v>
      </c>
      <c r="F465" s="497"/>
      <c r="G465" s="498">
        <f>G463-G464</f>
        <v>5.799999999999997</v>
      </c>
      <c r="H465" s="497">
        <f>H463-H464</f>
        <v>6.1000000000000085</v>
      </c>
      <c r="I465" s="497"/>
      <c r="J465" s="497">
        <f>J463-J464</f>
        <v>6.800000000000011</v>
      </c>
      <c r="K465" s="497">
        <f>K463-K464</f>
        <v>4.200000000000003</v>
      </c>
      <c r="L465" s="497"/>
      <c r="M465" s="500">
        <f>M463-M464</f>
        <v>9.900000000000006</v>
      </c>
    </row>
    <row r="466" spans="1:13" ht="12.75">
      <c r="A466" s="467" t="s">
        <v>157</v>
      </c>
      <c r="B466" s="468"/>
      <c r="C466" s="469"/>
      <c r="D466" s="470"/>
      <c r="E466" s="497">
        <v>74.6</v>
      </c>
      <c r="F466" s="498"/>
      <c r="G466" s="498">
        <v>73.7</v>
      </c>
      <c r="H466" s="498">
        <v>78.6</v>
      </c>
      <c r="I466" s="498"/>
      <c r="J466" s="498">
        <v>78.6</v>
      </c>
      <c r="K466" s="498">
        <v>73.7</v>
      </c>
      <c r="L466" s="498"/>
      <c r="M466" s="499">
        <v>82.2</v>
      </c>
    </row>
    <row r="467" spans="1:13" ht="12.75">
      <c r="A467" s="467" t="s">
        <v>151</v>
      </c>
      <c r="B467" s="468"/>
      <c r="C467" s="469"/>
      <c r="D467" s="470"/>
      <c r="E467" s="497">
        <f>E464-E466</f>
        <v>57.5</v>
      </c>
      <c r="F467" s="497"/>
      <c r="G467" s="498">
        <f>G464-G466</f>
        <v>38.099999999999994</v>
      </c>
      <c r="H467" s="497">
        <f>H464-H466</f>
        <v>48.7</v>
      </c>
      <c r="I467" s="497"/>
      <c r="J467" s="497">
        <f>J464-J466</f>
        <v>50.099999999999994</v>
      </c>
      <c r="K467" s="497">
        <f>K464-K466</f>
        <v>34.099999999999994</v>
      </c>
      <c r="L467" s="497"/>
      <c r="M467" s="500">
        <f>M464-M466</f>
        <v>53.3</v>
      </c>
    </row>
    <row r="468" spans="1:13" ht="12.75">
      <c r="A468" s="467" t="s">
        <v>158</v>
      </c>
      <c r="B468" s="468"/>
      <c r="C468" s="469"/>
      <c r="D468" s="470"/>
      <c r="E468" s="497">
        <f>(E465/E467)*100</f>
        <v>12.869565217391315</v>
      </c>
      <c r="F468" s="497"/>
      <c r="G468" s="497">
        <f>(G465/G467)*100</f>
        <v>15.223097112860886</v>
      </c>
      <c r="H468" s="497">
        <f>H465*100/H467</f>
        <v>12.525667351129382</v>
      </c>
      <c r="I468" s="497"/>
      <c r="J468" s="497">
        <f>(J465/J467)*100</f>
        <v>13.57285429141719</v>
      </c>
      <c r="K468" s="497">
        <f>K465*100/K467</f>
        <v>12.316715542522005</v>
      </c>
      <c r="L468" s="497"/>
      <c r="M468" s="500">
        <f>(M465/M467)*100</f>
        <v>18.57410881801127</v>
      </c>
    </row>
    <row r="469" spans="1:13" ht="12.75">
      <c r="A469" s="467" t="s">
        <v>152</v>
      </c>
      <c r="B469" s="468"/>
      <c r="C469" s="469"/>
      <c r="D469" s="470"/>
      <c r="E469" s="706">
        <f>AVERAGE(E468:F468)</f>
        <v>12.869565217391315</v>
      </c>
      <c r="F469" s="707"/>
      <c r="G469" s="498"/>
      <c r="H469" s="706">
        <f>AVERAGE(H468:I468)</f>
        <v>12.525667351129382</v>
      </c>
      <c r="I469" s="707"/>
      <c r="J469" s="498"/>
      <c r="K469" s="706">
        <f>AVERAGE(K468:L468)</f>
        <v>12.316715542522005</v>
      </c>
      <c r="L469" s="707"/>
      <c r="M469" s="499"/>
    </row>
    <row r="470" spans="1:13" ht="14.25" thickBot="1">
      <c r="A470" s="501" t="s">
        <v>167</v>
      </c>
      <c r="B470" s="502"/>
      <c r="C470" s="503"/>
      <c r="D470" s="504"/>
      <c r="E470" s="677">
        <f>(E460*100/(E469+100))</f>
        <v>1.8204120654196168</v>
      </c>
      <c r="F470" s="678"/>
      <c r="G470" s="505"/>
      <c r="H470" s="677">
        <f>(H460*100/(H469+100))</f>
        <v>1.760961865461181</v>
      </c>
      <c r="I470" s="678"/>
      <c r="J470" s="505"/>
      <c r="K470" s="677">
        <f>(K460*100/(K469+100))</f>
        <v>1.6870920365535245</v>
      </c>
      <c r="L470" s="678"/>
      <c r="M470" s="506"/>
    </row>
    <row r="471" spans="1:13" ht="13.5" thickTop="1">
      <c r="A471" s="114"/>
      <c r="B471" s="26"/>
      <c r="C471" s="26"/>
      <c r="D471" s="26"/>
      <c r="E471" s="27"/>
      <c r="F471" s="27"/>
      <c r="G471" s="26"/>
      <c r="H471" s="27"/>
      <c r="I471" s="27"/>
      <c r="J471" s="26"/>
      <c r="K471" s="27"/>
      <c r="L471" s="27"/>
      <c r="M471" s="115"/>
    </row>
    <row r="472" spans="1:13" ht="13.5" thickBot="1">
      <c r="A472" s="692" t="s">
        <v>90</v>
      </c>
      <c r="B472" s="693"/>
      <c r="C472" s="693"/>
      <c r="D472" s="693"/>
      <c r="E472" s="693"/>
      <c r="F472" s="693"/>
      <c r="G472" s="693"/>
      <c r="H472" s="693"/>
      <c r="I472" s="693"/>
      <c r="J472" s="693"/>
      <c r="K472" s="693"/>
      <c r="L472" s="693"/>
      <c r="M472" s="694"/>
    </row>
    <row r="473" spans="1:13" ht="13.5" thickTop="1">
      <c r="A473" s="671" t="s">
        <v>84</v>
      </c>
      <c r="B473" s="672"/>
      <c r="C473" s="672" t="s">
        <v>85</v>
      </c>
      <c r="D473" s="523" t="s">
        <v>86</v>
      </c>
      <c r="E473" s="675" t="s">
        <v>87</v>
      </c>
      <c r="F473" s="675"/>
      <c r="G473" s="675"/>
      <c r="H473" s="675" t="s">
        <v>118</v>
      </c>
      <c r="I473" s="675"/>
      <c r="J473" s="675"/>
      <c r="K473" s="675" t="s">
        <v>119</v>
      </c>
      <c r="L473" s="675"/>
      <c r="M473" s="676"/>
    </row>
    <row r="474" spans="1:13" ht="12.75">
      <c r="A474" s="673"/>
      <c r="B474" s="674"/>
      <c r="C474" s="674"/>
      <c r="D474" s="524" t="s">
        <v>127</v>
      </c>
      <c r="E474" s="524" t="s">
        <v>88</v>
      </c>
      <c r="F474" s="669" t="s">
        <v>90</v>
      </c>
      <c r="G474" s="669"/>
      <c r="H474" s="524" t="s">
        <v>88</v>
      </c>
      <c r="I474" s="669" t="s">
        <v>90</v>
      </c>
      <c r="J474" s="669"/>
      <c r="K474" s="524" t="s">
        <v>88</v>
      </c>
      <c r="L474" s="669" t="s">
        <v>90</v>
      </c>
      <c r="M474" s="670"/>
    </row>
    <row r="475" spans="1:18" ht="12.75">
      <c r="A475" s="673"/>
      <c r="B475" s="674"/>
      <c r="C475" s="674"/>
      <c r="D475" s="524" t="s">
        <v>128</v>
      </c>
      <c r="E475" s="524" t="s">
        <v>89</v>
      </c>
      <c r="F475" s="524" t="s">
        <v>91</v>
      </c>
      <c r="G475" s="524" t="s">
        <v>23</v>
      </c>
      <c r="H475" s="524" t="s">
        <v>89</v>
      </c>
      <c r="I475" s="524" t="s">
        <v>91</v>
      </c>
      <c r="J475" s="524" t="s">
        <v>23</v>
      </c>
      <c r="K475" s="524" t="s">
        <v>89</v>
      </c>
      <c r="L475" s="524" t="s">
        <v>91</v>
      </c>
      <c r="M475" s="525" t="s">
        <v>23</v>
      </c>
      <c r="P475" s="10" t="s">
        <v>159</v>
      </c>
      <c r="Q475" s="10" t="s">
        <v>160</v>
      </c>
      <c r="R475" s="10" t="s">
        <v>161</v>
      </c>
    </row>
    <row r="476" spans="1:18" ht="12.75">
      <c r="A476" s="699">
        <v>39232</v>
      </c>
      <c r="B476" s="700"/>
      <c r="C476" s="515">
        <v>0.3958333333333333</v>
      </c>
      <c r="D476" s="696">
        <v>4</v>
      </c>
      <c r="E476" s="516">
        <v>0.202</v>
      </c>
      <c r="F476" s="517">
        <f>E476*2.54</f>
        <v>0.5130800000000001</v>
      </c>
      <c r="G476" s="517"/>
      <c r="H476" s="516">
        <v>0.076</v>
      </c>
      <c r="I476" s="517">
        <f>H476*2.54</f>
        <v>0.19304</v>
      </c>
      <c r="J476" s="517"/>
      <c r="K476" s="516">
        <v>0.495</v>
      </c>
      <c r="L476" s="517">
        <f>K476*2.54</f>
        <v>1.2573</v>
      </c>
      <c r="M476" s="518"/>
      <c r="O476" s="10" t="s">
        <v>163</v>
      </c>
      <c r="P476" s="17">
        <v>11.54</v>
      </c>
      <c r="Q476" s="17">
        <v>11.54</v>
      </c>
      <c r="R476" s="17">
        <v>11.59</v>
      </c>
    </row>
    <row r="477" spans="1:18" ht="12.75">
      <c r="A477" s="699"/>
      <c r="B477" s="700"/>
      <c r="C477" s="515"/>
      <c r="D477" s="697"/>
      <c r="E477" s="516"/>
      <c r="F477" s="516"/>
      <c r="G477" s="582"/>
      <c r="H477" s="516"/>
      <c r="I477" s="516"/>
      <c r="J477" s="582"/>
      <c r="K477" s="516"/>
      <c r="L477" s="516"/>
      <c r="M477" s="583"/>
      <c r="Q477" s="26"/>
      <c r="R477" s="26"/>
    </row>
    <row r="478" spans="1:18" ht="13.5" thickBot="1">
      <c r="A478" s="699">
        <v>39263</v>
      </c>
      <c r="B478" s="700"/>
      <c r="C478" s="515">
        <f>C476</f>
        <v>0.3958333333333333</v>
      </c>
      <c r="D478" s="698"/>
      <c r="E478" s="527">
        <v>0.208</v>
      </c>
      <c r="F478" s="528">
        <f>E478*2.54</f>
        <v>0.52832</v>
      </c>
      <c r="G478" s="519">
        <f>(F478-F476)*100/P476</f>
        <v>0.1320623916811085</v>
      </c>
      <c r="H478" s="527">
        <v>0.124</v>
      </c>
      <c r="I478" s="528">
        <f>H478*2.54</f>
        <v>0.31496</v>
      </c>
      <c r="J478" s="519">
        <f>(I478-I476)*100/Q476</f>
        <v>1.0564991334488738</v>
      </c>
      <c r="K478" s="527">
        <v>0.575</v>
      </c>
      <c r="L478" s="528">
        <f>K478*2.54</f>
        <v>1.4605</v>
      </c>
      <c r="M478" s="529">
        <f>(L478-L476)*100/R476</f>
        <v>1.7532355478861072</v>
      </c>
      <c r="O478" s="19"/>
      <c r="Q478" s="26"/>
      <c r="R478" s="26"/>
    </row>
    <row r="479" spans="1:18" ht="13.5" thickTop="1">
      <c r="A479" s="114"/>
      <c r="B479" s="26"/>
      <c r="C479" s="26"/>
      <c r="D479" s="26"/>
      <c r="E479" s="26"/>
      <c r="F479" s="26"/>
      <c r="G479" s="9"/>
      <c r="H479" s="9"/>
      <c r="I479" s="26"/>
      <c r="J479" s="26"/>
      <c r="K479" s="26"/>
      <c r="L479" s="26"/>
      <c r="M479" s="115"/>
      <c r="Q479" s="26"/>
      <c r="R479" s="26"/>
    </row>
    <row r="480" spans="1:18" ht="13.5" thickBot="1">
      <c r="A480" s="692" t="s">
        <v>98</v>
      </c>
      <c r="B480" s="693"/>
      <c r="C480" s="693"/>
      <c r="D480" s="693"/>
      <c r="E480" s="693"/>
      <c r="F480" s="693"/>
      <c r="G480" s="693"/>
      <c r="H480" s="693"/>
      <c r="I480" s="693"/>
      <c r="J480" s="693"/>
      <c r="K480" s="693"/>
      <c r="L480" s="693"/>
      <c r="M480" s="694"/>
      <c r="Q480" s="26"/>
      <c r="R480" s="26"/>
    </row>
    <row r="481" spans="1:18" ht="13.5" thickTop="1">
      <c r="A481" s="695" t="s">
        <v>92</v>
      </c>
      <c r="B481" s="690"/>
      <c r="C481" s="690"/>
      <c r="D481" s="530" t="s">
        <v>95</v>
      </c>
      <c r="E481" s="690" t="s">
        <v>120</v>
      </c>
      <c r="F481" s="690"/>
      <c r="G481" s="691"/>
      <c r="H481" s="675" t="s">
        <v>121</v>
      </c>
      <c r="I481" s="675"/>
      <c r="J481" s="675"/>
      <c r="K481" s="675" t="s">
        <v>122</v>
      </c>
      <c r="L481" s="675"/>
      <c r="M481" s="676"/>
      <c r="Q481" s="26"/>
      <c r="R481" s="26"/>
    </row>
    <row r="482" spans="1:18" ht="12.75">
      <c r="A482" s="531"/>
      <c r="B482" s="532"/>
      <c r="C482" s="532"/>
      <c r="D482" s="533" t="s">
        <v>96</v>
      </c>
      <c r="E482" s="664" t="s">
        <v>123</v>
      </c>
      <c r="F482" s="665"/>
      <c r="G482" s="535" t="s">
        <v>130</v>
      </c>
      <c r="H482" s="664" t="s">
        <v>123</v>
      </c>
      <c r="I482" s="665"/>
      <c r="J482" s="535" t="s">
        <v>130</v>
      </c>
      <c r="K482" s="664" t="s">
        <v>123</v>
      </c>
      <c r="L482" s="665"/>
      <c r="M482" s="536" t="s">
        <v>130</v>
      </c>
      <c r="Q482" s="26"/>
      <c r="R482" s="26"/>
    </row>
    <row r="483" spans="1:18" ht="12.75">
      <c r="A483" s="537" t="s">
        <v>93</v>
      </c>
      <c r="B483" s="524" t="s">
        <v>94</v>
      </c>
      <c r="C483" s="524" t="s">
        <v>91</v>
      </c>
      <c r="D483" s="538" t="s">
        <v>97</v>
      </c>
      <c r="E483" s="534" t="s">
        <v>124</v>
      </c>
      <c r="F483" s="524" t="s">
        <v>125</v>
      </c>
      <c r="G483" s="524" t="s">
        <v>23</v>
      </c>
      <c r="H483" s="524" t="s">
        <v>124</v>
      </c>
      <c r="I483" s="524" t="s">
        <v>125</v>
      </c>
      <c r="J483" s="524" t="s">
        <v>23</v>
      </c>
      <c r="K483" s="524" t="s">
        <v>124</v>
      </c>
      <c r="L483" s="524" t="s">
        <v>125</v>
      </c>
      <c r="M483" s="525" t="s">
        <v>23</v>
      </c>
      <c r="Q483" s="26"/>
      <c r="R483" s="26"/>
    </row>
    <row r="484" spans="1:18" ht="12.75">
      <c r="A484" s="539">
        <v>0.5</v>
      </c>
      <c r="B484" s="540">
        <v>0.025</v>
      </c>
      <c r="C484" s="541">
        <f aca="true" t="shared" si="20" ref="C484:C491">B484*2.54</f>
        <v>0.0635</v>
      </c>
      <c r="D484" s="509"/>
      <c r="E484" s="509">
        <v>40</v>
      </c>
      <c r="F484" s="509">
        <v>124</v>
      </c>
      <c r="G484" s="509"/>
      <c r="H484" s="509">
        <v>27</v>
      </c>
      <c r="I484" s="509">
        <v>89</v>
      </c>
      <c r="J484" s="509"/>
      <c r="K484" s="509">
        <v>17</v>
      </c>
      <c r="L484" s="509">
        <v>63</v>
      </c>
      <c r="M484" s="510"/>
      <c r="Q484" s="26"/>
      <c r="R484" s="26"/>
    </row>
    <row r="485" spans="1:18" ht="12.75">
      <c r="A485" s="542">
        <v>1</v>
      </c>
      <c r="B485" s="543">
        <v>0.05</v>
      </c>
      <c r="C485" s="513">
        <f t="shared" si="20"/>
        <v>0.127</v>
      </c>
      <c r="D485" s="511"/>
      <c r="E485" s="511">
        <v>124</v>
      </c>
      <c r="F485" s="509">
        <v>350</v>
      </c>
      <c r="G485" s="511"/>
      <c r="H485" s="511">
        <v>96</v>
      </c>
      <c r="I485" s="509">
        <v>275</v>
      </c>
      <c r="J485" s="511"/>
      <c r="K485" s="511">
        <v>53</v>
      </c>
      <c r="L485" s="509">
        <v>159</v>
      </c>
      <c r="M485" s="512"/>
      <c r="Q485" s="26"/>
      <c r="R485" s="26"/>
    </row>
    <row r="486" spans="1:18" ht="12.75">
      <c r="A486" s="544">
        <v>1.5</v>
      </c>
      <c r="B486" s="543">
        <v>0.075</v>
      </c>
      <c r="C486" s="513">
        <f t="shared" si="20"/>
        <v>0.1905</v>
      </c>
      <c r="D486" s="511"/>
      <c r="E486" s="511">
        <v>246</v>
      </c>
      <c r="F486" s="509">
        <v>678</v>
      </c>
      <c r="G486" s="511"/>
      <c r="H486" s="511">
        <v>138</v>
      </c>
      <c r="I486" s="509">
        <v>388</v>
      </c>
      <c r="J486" s="511"/>
      <c r="K486" s="511">
        <v>86</v>
      </c>
      <c r="L486" s="509">
        <v>248</v>
      </c>
      <c r="M486" s="512"/>
      <c r="Q486" s="26"/>
      <c r="R486" s="26"/>
    </row>
    <row r="487" spans="1:18" ht="12.75">
      <c r="A487" s="542">
        <v>2</v>
      </c>
      <c r="B487" s="543">
        <v>0.1</v>
      </c>
      <c r="C487" s="513">
        <f t="shared" si="20"/>
        <v>0.254</v>
      </c>
      <c r="D487" s="511">
        <v>1000</v>
      </c>
      <c r="E487" s="511">
        <v>375</v>
      </c>
      <c r="F487" s="509">
        <v>1025</v>
      </c>
      <c r="G487" s="545">
        <f>F487*100/D487</f>
        <v>102.5</v>
      </c>
      <c r="H487" s="511">
        <v>205</v>
      </c>
      <c r="I487" s="509">
        <v>568</v>
      </c>
      <c r="J487" s="545">
        <f>I487*100/D487</f>
        <v>56.8</v>
      </c>
      <c r="K487" s="511">
        <v>124</v>
      </c>
      <c r="L487" s="509">
        <v>350</v>
      </c>
      <c r="M487" s="546">
        <f>L487*100/D487</f>
        <v>35</v>
      </c>
      <c r="Q487" s="26"/>
      <c r="R487" s="26"/>
    </row>
    <row r="488" spans="1:18" ht="12.75">
      <c r="A488" s="542">
        <f>A487+2</f>
        <v>4</v>
      </c>
      <c r="B488" s="543">
        <v>0.2</v>
      </c>
      <c r="C488" s="513">
        <f t="shared" si="20"/>
        <v>0.508</v>
      </c>
      <c r="D488" s="511">
        <v>1500</v>
      </c>
      <c r="E488" s="511">
        <v>850</v>
      </c>
      <c r="F488" s="509">
        <v>2301</v>
      </c>
      <c r="G488" s="545">
        <f>F488*100/D488</f>
        <v>153.4</v>
      </c>
      <c r="H488" s="511">
        <v>465</v>
      </c>
      <c r="I488" s="509">
        <v>1267</v>
      </c>
      <c r="J488" s="545">
        <f>I488*100/D488</f>
        <v>84.46666666666667</v>
      </c>
      <c r="K488" s="511">
        <v>225</v>
      </c>
      <c r="L488" s="509">
        <v>622</v>
      </c>
      <c r="M488" s="546">
        <f>L488*100/D488</f>
        <v>41.46666666666667</v>
      </c>
      <c r="Q488" s="26"/>
      <c r="R488" s="26"/>
    </row>
    <row r="489" spans="1:18" ht="12.75">
      <c r="A489" s="542">
        <f>A488+2</f>
        <v>6</v>
      </c>
      <c r="B489" s="543">
        <v>0.3</v>
      </c>
      <c r="C489" s="513">
        <f t="shared" si="20"/>
        <v>0.762</v>
      </c>
      <c r="D489" s="511"/>
      <c r="E489" s="511">
        <v>1180</v>
      </c>
      <c r="F489" s="509">
        <v>3188</v>
      </c>
      <c r="G489" s="545"/>
      <c r="H489" s="511">
        <v>663</v>
      </c>
      <c r="I489" s="509">
        <v>1799</v>
      </c>
      <c r="J489" s="545"/>
      <c r="K489" s="511">
        <v>295</v>
      </c>
      <c r="L489" s="509">
        <v>810</v>
      </c>
      <c r="M489" s="546"/>
      <c r="Q489" s="26"/>
      <c r="R489" s="26"/>
    </row>
    <row r="490" spans="1:18" ht="12.75">
      <c r="A490" s="542">
        <f>A489+2</f>
        <v>8</v>
      </c>
      <c r="B490" s="543">
        <v>0.4</v>
      </c>
      <c r="C490" s="513">
        <f t="shared" si="20"/>
        <v>1.016</v>
      </c>
      <c r="D490" s="511"/>
      <c r="E490" s="511">
        <v>1415</v>
      </c>
      <c r="F490" s="509">
        <v>3820</v>
      </c>
      <c r="G490" s="545"/>
      <c r="H490" s="511">
        <v>825</v>
      </c>
      <c r="I490" s="509">
        <v>2234</v>
      </c>
      <c r="J490" s="545"/>
      <c r="K490" s="511">
        <v>354</v>
      </c>
      <c r="L490" s="509">
        <v>968</v>
      </c>
      <c r="M490" s="546"/>
      <c r="Q490" s="26"/>
      <c r="R490" s="26"/>
    </row>
    <row r="491" spans="1:13" ht="13.5" thickBot="1">
      <c r="A491" s="565">
        <f>A490+2</f>
        <v>10</v>
      </c>
      <c r="B491" s="514">
        <v>0.5</v>
      </c>
      <c r="C491" s="566">
        <f t="shared" si="20"/>
        <v>1.27</v>
      </c>
      <c r="D491" s="567"/>
      <c r="E491" s="567">
        <v>1615</v>
      </c>
      <c r="F491" s="528">
        <v>4357</v>
      </c>
      <c r="G491" s="568"/>
      <c r="H491" s="567">
        <v>985</v>
      </c>
      <c r="I491" s="528">
        <v>2664</v>
      </c>
      <c r="J491" s="568"/>
      <c r="K491" s="567">
        <v>406</v>
      </c>
      <c r="L491" s="528">
        <v>1108</v>
      </c>
      <c r="M491" s="569"/>
    </row>
    <row r="492" spans="1:13" ht="13.5" thickTop="1">
      <c r="A492" s="164"/>
      <c r="B492" s="28"/>
      <c r="C492" s="29"/>
      <c r="D492" s="30"/>
      <c r="E492" s="30"/>
      <c r="F492" s="30"/>
      <c r="G492" s="165"/>
      <c r="H492" s="30"/>
      <c r="I492" s="30"/>
      <c r="J492" s="165"/>
      <c r="K492" s="30"/>
      <c r="L492" s="30"/>
      <c r="M492" s="166"/>
    </row>
    <row r="493" spans="1:13" ht="12.75">
      <c r="A493" s="164"/>
      <c r="B493" s="28"/>
      <c r="C493" s="29"/>
      <c r="D493" s="30"/>
      <c r="E493" s="30"/>
      <c r="F493" s="30"/>
      <c r="G493" s="165"/>
      <c r="H493" s="30"/>
      <c r="I493" s="30"/>
      <c r="J493" s="165"/>
      <c r="K493" s="30"/>
      <c r="L493" s="30"/>
      <c r="M493" s="166"/>
    </row>
    <row r="494" spans="1:13" ht="12.75">
      <c r="A494" s="164"/>
      <c r="B494" s="28"/>
      <c r="C494" s="29"/>
      <c r="D494" s="30"/>
      <c r="E494" s="30"/>
      <c r="F494" s="30"/>
      <c r="G494" s="165"/>
      <c r="H494" s="30"/>
      <c r="I494" s="30"/>
      <c r="J494" s="165"/>
      <c r="K494" s="30"/>
      <c r="L494" s="30"/>
      <c r="M494" s="166"/>
    </row>
    <row r="495" spans="1:13" ht="13.5" thickBot="1">
      <c r="A495" s="118"/>
      <c r="B495" s="119"/>
      <c r="C495" s="120"/>
      <c r="D495" s="113"/>
      <c r="E495" s="113"/>
      <c r="F495" s="113"/>
      <c r="G495" s="113"/>
      <c r="H495" s="113"/>
      <c r="I495" s="113"/>
      <c r="J495" s="113"/>
      <c r="K495" s="113"/>
      <c r="L495" s="113"/>
      <c r="M495" s="121"/>
    </row>
    <row r="496" spans="1:13" ht="15.75" thickBot="1">
      <c r="A496" s="666" t="s">
        <v>165</v>
      </c>
      <c r="B496" s="667"/>
      <c r="C496" s="667"/>
      <c r="D496" s="667"/>
      <c r="E496" s="667"/>
      <c r="F496" s="667"/>
      <c r="G496" s="667"/>
      <c r="H496" s="667"/>
      <c r="I496" s="667"/>
      <c r="J496" s="667"/>
      <c r="K496" s="667"/>
      <c r="L496" s="667"/>
      <c r="M496" s="668"/>
    </row>
    <row r="497" spans="1:13" ht="15">
      <c r="A497" s="122"/>
      <c r="B497" s="83"/>
      <c r="C497" s="83"/>
      <c r="D497" s="83"/>
      <c r="E497" s="680" t="s">
        <v>126</v>
      </c>
      <c r="F497" s="680"/>
      <c r="G497" s="680"/>
      <c r="H497" s="680"/>
      <c r="I497" s="680"/>
      <c r="J497" s="83"/>
      <c r="K497" s="83"/>
      <c r="L497" s="83"/>
      <c r="M497" s="87"/>
    </row>
    <row r="498" spans="1:13" ht="12.75">
      <c r="A498" s="122"/>
      <c r="B498" s="83"/>
      <c r="C498" s="83"/>
      <c r="D498" s="83"/>
      <c r="E498" s="83"/>
      <c r="F498" s="83"/>
      <c r="G498" s="83"/>
      <c r="H498" s="83"/>
      <c r="I498" s="83"/>
      <c r="J498" s="83"/>
      <c r="K498" s="83"/>
      <c r="L498" s="83"/>
      <c r="M498" s="87"/>
    </row>
    <row r="499" spans="1:13" ht="12.75">
      <c r="A499" s="122"/>
      <c r="B499" s="83"/>
      <c r="C499" s="83"/>
      <c r="D499" s="83"/>
      <c r="E499" s="83"/>
      <c r="F499" s="83"/>
      <c r="G499" s="83"/>
      <c r="H499" s="83"/>
      <c r="I499" s="83"/>
      <c r="J499" s="83"/>
      <c r="K499" s="83"/>
      <c r="L499" s="83"/>
      <c r="M499" s="87"/>
    </row>
    <row r="500" spans="1:13" ht="12.75">
      <c r="A500" s="122"/>
      <c r="B500" s="83"/>
      <c r="C500" s="83"/>
      <c r="D500" s="83"/>
      <c r="E500" s="83"/>
      <c r="F500" s="83"/>
      <c r="G500" s="83"/>
      <c r="H500" s="83"/>
      <c r="I500" s="83"/>
      <c r="J500" s="83"/>
      <c r="K500" s="83"/>
      <c r="L500" s="83"/>
      <c r="M500" s="87"/>
    </row>
    <row r="501" spans="1:13" ht="12.75">
      <c r="A501" s="122"/>
      <c r="B501" s="83"/>
      <c r="C501" s="83"/>
      <c r="D501" s="83"/>
      <c r="E501" s="83"/>
      <c r="F501" s="83"/>
      <c r="G501" s="83"/>
      <c r="H501" s="83"/>
      <c r="I501" s="83"/>
      <c r="J501" s="83"/>
      <c r="K501" s="83"/>
      <c r="L501" s="83"/>
      <c r="M501" s="87"/>
    </row>
    <row r="502" spans="1:13" ht="12.75">
      <c r="A502" s="122"/>
      <c r="B502" s="83"/>
      <c r="C502" s="83"/>
      <c r="D502" s="83"/>
      <c r="E502" s="83"/>
      <c r="F502" s="83"/>
      <c r="G502" s="83"/>
      <c r="H502" s="83"/>
      <c r="I502" s="83"/>
      <c r="J502" s="83"/>
      <c r="K502" s="83"/>
      <c r="L502" s="83"/>
      <c r="M502" s="87"/>
    </row>
    <row r="503" spans="1:13" ht="12.75">
      <c r="A503" s="122"/>
      <c r="B503" s="83"/>
      <c r="C503" s="83"/>
      <c r="D503" s="83"/>
      <c r="E503" s="83"/>
      <c r="F503" s="83"/>
      <c r="G503" s="83"/>
      <c r="H503" s="83"/>
      <c r="I503" s="83"/>
      <c r="J503" s="83"/>
      <c r="K503" s="83"/>
      <c r="L503" s="83"/>
      <c r="M503" s="87"/>
    </row>
    <row r="504" spans="1:13" ht="12.75">
      <c r="A504" s="122"/>
      <c r="B504" s="83"/>
      <c r="C504" s="83"/>
      <c r="D504" s="83"/>
      <c r="E504" s="83"/>
      <c r="F504" s="83"/>
      <c r="G504" s="83"/>
      <c r="H504" s="83"/>
      <c r="I504" s="83"/>
      <c r="J504" s="83"/>
      <c r="K504" s="83"/>
      <c r="L504" s="83"/>
      <c r="M504" s="87"/>
    </row>
    <row r="505" spans="1:13" ht="12.75">
      <c r="A505" s="122"/>
      <c r="B505" s="83"/>
      <c r="C505" s="83"/>
      <c r="D505" s="83"/>
      <c r="E505" s="83"/>
      <c r="F505" s="83"/>
      <c r="G505" s="83"/>
      <c r="H505" s="83"/>
      <c r="I505" s="83"/>
      <c r="J505" s="83"/>
      <c r="K505" s="83"/>
      <c r="L505" s="83"/>
      <c r="M505" s="87"/>
    </row>
    <row r="506" spans="1:13" ht="12.75">
      <c r="A506" s="122"/>
      <c r="B506" s="83"/>
      <c r="C506" s="83"/>
      <c r="D506" s="83"/>
      <c r="E506" s="83"/>
      <c r="F506" s="83"/>
      <c r="G506" s="83"/>
      <c r="H506" s="83"/>
      <c r="I506" s="83"/>
      <c r="J506" s="83"/>
      <c r="K506" s="83"/>
      <c r="L506" s="83"/>
      <c r="M506" s="87"/>
    </row>
    <row r="507" spans="1:13" ht="12.75">
      <c r="A507" s="122"/>
      <c r="B507" s="83"/>
      <c r="C507" s="83"/>
      <c r="D507" s="83"/>
      <c r="E507" s="83"/>
      <c r="F507" s="83"/>
      <c r="G507" s="83"/>
      <c r="H507" s="83"/>
      <c r="I507" s="83"/>
      <c r="J507" s="83"/>
      <c r="K507" s="83"/>
      <c r="L507" s="83"/>
      <c r="M507" s="87"/>
    </row>
    <row r="508" spans="1:13" ht="12.75">
      <c r="A508" s="122"/>
      <c r="B508" s="83"/>
      <c r="C508" s="83"/>
      <c r="D508" s="83"/>
      <c r="E508" s="83"/>
      <c r="F508" s="83"/>
      <c r="G508" s="83"/>
      <c r="H508" s="83"/>
      <c r="I508" s="83"/>
      <c r="J508" s="83"/>
      <c r="K508" s="83"/>
      <c r="L508" s="83"/>
      <c r="M508" s="87"/>
    </row>
    <row r="509" spans="1:13" ht="12.75">
      <c r="A509" s="122"/>
      <c r="B509" s="83"/>
      <c r="C509" s="83"/>
      <c r="D509" s="83"/>
      <c r="E509" s="83"/>
      <c r="F509" s="83"/>
      <c r="G509" s="83"/>
      <c r="H509" s="83"/>
      <c r="I509" s="83"/>
      <c r="J509" s="83"/>
      <c r="K509" s="83"/>
      <c r="L509" s="83"/>
      <c r="M509" s="87"/>
    </row>
    <row r="510" spans="1:13" ht="12.75">
      <c r="A510" s="122"/>
      <c r="B510" s="83"/>
      <c r="C510" s="83"/>
      <c r="D510" s="83"/>
      <c r="E510" s="83"/>
      <c r="F510" s="83"/>
      <c r="G510" s="83"/>
      <c r="H510" s="83"/>
      <c r="I510" s="83"/>
      <c r="J510" s="83"/>
      <c r="K510" s="83"/>
      <c r="L510" s="83"/>
      <c r="M510" s="87"/>
    </row>
    <row r="511" spans="1:13" ht="12.75">
      <c r="A511" s="122"/>
      <c r="B511" s="83"/>
      <c r="C511" s="83"/>
      <c r="D511" s="83"/>
      <c r="E511" s="83"/>
      <c r="F511" s="83"/>
      <c r="G511" s="83"/>
      <c r="H511" s="83"/>
      <c r="I511" s="83"/>
      <c r="J511" s="83"/>
      <c r="K511" s="83"/>
      <c r="L511" s="83"/>
      <c r="M511" s="87"/>
    </row>
    <row r="512" spans="1:13" ht="12.75">
      <c r="A512" s="122"/>
      <c r="B512" s="83"/>
      <c r="C512" s="83"/>
      <c r="D512" s="83"/>
      <c r="E512" s="83"/>
      <c r="F512" s="83"/>
      <c r="G512" s="83"/>
      <c r="H512" s="83"/>
      <c r="I512" s="83"/>
      <c r="J512" s="83"/>
      <c r="K512" s="83"/>
      <c r="L512" s="83"/>
      <c r="M512" s="87"/>
    </row>
    <row r="513" spans="1:13" ht="12.75">
      <c r="A513" s="122"/>
      <c r="B513" s="83"/>
      <c r="C513" s="83"/>
      <c r="D513" s="83"/>
      <c r="E513" s="83"/>
      <c r="F513" s="83"/>
      <c r="G513" s="83"/>
      <c r="H513" s="83"/>
      <c r="I513" s="83"/>
      <c r="J513" s="83"/>
      <c r="K513" s="83"/>
      <c r="L513" s="83"/>
      <c r="M513" s="87"/>
    </row>
    <row r="514" spans="1:13" ht="12.75">
      <c r="A514" s="122"/>
      <c r="B514" s="83"/>
      <c r="C514" s="83"/>
      <c r="D514" s="83"/>
      <c r="E514" s="83"/>
      <c r="F514" s="83"/>
      <c r="G514" s="83"/>
      <c r="H514" s="83"/>
      <c r="I514" s="83"/>
      <c r="J514" s="83"/>
      <c r="K514" s="83"/>
      <c r="L514" s="83"/>
      <c r="M514" s="87"/>
    </row>
    <row r="515" spans="1:13" ht="12.75">
      <c r="A515" s="122"/>
      <c r="B515" s="83"/>
      <c r="C515" s="83"/>
      <c r="D515" s="83"/>
      <c r="E515" s="83"/>
      <c r="F515" s="83"/>
      <c r="G515" s="83"/>
      <c r="H515" s="83"/>
      <c r="I515" s="83"/>
      <c r="J515" s="83"/>
      <c r="K515" s="83"/>
      <c r="L515" s="83"/>
      <c r="M515" s="87"/>
    </row>
    <row r="516" spans="1:18" ht="12.75">
      <c r="A516" s="122"/>
      <c r="B516" s="83"/>
      <c r="C516" s="83"/>
      <c r="D516" s="83"/>
      <c r="E516" s="83"/>
      <c r="F516" s="83"/>
      <c r="G516" s="83"/>
      <c r="H516" s="83"/>
      <c r="I516" s="83"/>
      <c r="J516" s="83"/>
      <c r="K516" s="83"/>
      <c r="L516" s="83"/>
      <c r="M516" s="87"/>
      <c r="O516" s="32">
        <v>0</v>
      </c>
      <c r="P516" s="33">
        <v>0</v>
      </c>
      <c r="Q516" s="33">
        <f>P516</f>
        <v>0</v>
      </c>
      <c r="R516" s="34">
        <f>Q516</f>
        <v>0</v>
      </c>
    </row>
    <row r="517" spans="1:18" ht="12.75">
      <c r="A517" s="122"/>
      <c r="B517" s="83"/>
      <c r="C517" s="83"/>
      <c r="D517" s="83"/>
      <c r="E517" s="83"/>
      <c r="F517" s="83"/>
      <c r="G517" s="83"/>
      <c r="H517" s="83"/>
      <c r="I517" s="83"/>
      <c r="J517" s="83"/>
      <c r="K517" s="83"/>
      <c r="L517" s="83"/>
      <c r="M517" s="87"/>
      <c r="O517" s="35">
        <f aca="true" t="shared" si="21" ref="O517:O524">B484</f>
        <v>0.025</v>
      </c>
      <c r="P517" s="9">
        <f aca="true" t="shared" si="22" ref="P517:P524">F484</f>
        <v>124</v>
      </c>
      <c r="Q517" s="9">
        <f aca="true" t="shared" si="23" ref="Q517:Q524">I484</f>
        <v>89</v>
      </c>
      <c r="R517" s="36">
        <f aca="true" t="shared" si="24" ref="R517:R524">L484</f>
        <v>63</v>
      </c>
    </row>
    <row r="518" spans="1:18" ht="12.75">
      <c r="A518" s="122"/>
      <c r="B518" s="83"/>
      <c r="C518" s="83"/>
      <c r="D518" s="83"/>
      <c r="E518" s="83"/>
      <c r="F518" s="83"/>
      <c r="G518" s="83"/>
      <c r="H518" s="83"/>
      <c r="I518" s="83"/>
      <c r="J518" s="83"/>
      <c r="K518" s="83"/>
      <c r="L518" s="83"/>
      <c r="M518" s="87"/>
      <c r="O518" s="35">
        <f t="shared" si="21"/>
        <v>0.05</v>
      </c>
      <c r="P518" s="9">
        <f t="shared" si="22"/>
        <v>350</v>
      </c>
      <c r="Q518" s="9">
        <f t="shared" si="23"/>
        <v>275</v>
      </c>
      <c r="R518" s="36">
        <f t="shared" si="24"/>
        <v>159</v>
      </c>
    </row>
    <row r="519" spans="1:18" ht="12.75">
      <c r="A519" s="122"/>
      <c r="B519" s="83"/>
      <c r="C519" s="83"/>
      <c r="D519" s="83"/>
      <c r="E519" s="83"/>
      <c r="F519" s="83"/>
      <c r="G519" s="83"/>
      <c r="H519" s="83"/>
      <c r="I519" s="83"/>
      <c r="J519" s="83"/>
      <c r="K519" s="83"/>
      <c r="L519" s="83"/>
      <c r="M519" s="87"/>
      <c r="O519" s="35">
        <f t="shared" si="21"/>
        <v>0.075</v>
      </c>
      <c r="P519" s="9">
        <f t="shared" si="22"/>
        <v>678</v>
      </c>
      <c r="Q519" s="9">
        <f t="shared" si="23"/>
        <v>388</v>
      </c>
      <c r="R519" s="36">
        <f t="shared" si="24"/>
        <v>248</v>
      </c>
    </row>
    <row r="520" spans="1:18" ht="12.75">
      <c r="A520" s="122"/>
      <c r="B520" s="83"/>
      <c r="C520" s="83"/>
      <c r="D520" s="83"/>
      <c r="E520" s="83"/>
      <c r="F520" s="83"/>
      <c r="G520" s="83"/>
      <c r="H520" s="83"/>
      <c r="I520" s="83"/>
      <c r="J520" s="83"/>
      <c r="K520" s="83"/>
      <c r="L520" s="83"/>
      <c r="M520" s="87"/>
      <c r="O520" s="35">
        <f t="shared" si="21"/>
        <v>0.1</v>
      </c>
      <c r="P520" s="9">
        <f t="shared" si="22"/>
        <v>1025</v>
      </c>
      <c r="Q520" s="9">
        <f t="shared" si="23"/>
        <v>568</v>
      </c>
      <c r="R520" s="36">
        <f t="shared" si="24"/>
        <v>350</v>
      </c>
    </row>
    <row r="521" spans="1:18" ht="12.75">
      <c r="A521" s="122"/>
      <c r="B521" s="83"/>
      <c r="C521" s="83"/>
      <c r="D521" s="83"/>
      <c r="E521" s="83"/>
      <c r="F521" s="83"/>
      <c r="G521" s="83"/>
      <c r="H521" s="83"/>
      <c r="I521" s="83"/>
      <c r="J521" s="83"/>
      <c r="K521" s="83"/>
      <c r="L521" s="83"/>
      <c r="M521" s="87"/>
      <c r="O521" s="35">
        <f t="shared" si="21"/>
        <v>0.2</v>
      </c>
      <c r="P521" s="9">
        <f t="shared" si="22"/>
        <v>2301</v>
      </c>
      <c r="Q521" s="9">
        <f t="shared" si="23"/>
        <v>1267</v>
      </c>
      <c r="R521" s="36">
        <f t="shared" si="24"/>
        <v>622</v>
      </c>
    </row>
    <row r="522" spans="1:18" ht="12.75">
      <c r="A522" s="122"/>
      <c r="B522" s="83"/>
      <c r="C522" s="83"/>
      <c r="D522" s="83"/>
      <c r="E522" s="83"/>
      <c r="F522" s="83"/>
      <c r="G522" s="83"/>
      <c r="H522" s="83"/>
      <c r="I522" s="83"/>
      <c r="J522" s="83"/>
      <c r="K522" s="83"/>
      <c r="L522" s="83"/>
      <c r="M522" s="87"/>
      <c r="O522" s="35">
        <f t="shared" si="21"/>
        <v>0.3</v>
      </c>
      <c r="P522" s="9">
        <f t="shared" si="22"/>
        <v>3188</v>
      </c>
      <c r="Q522" s="9">
        <f t="shared" si="23"/>
        <v>1799</v>
      </c>
      <c r="R522" s="36">
        <f t="shared" si="24"/>
        <v>810</v>
      </c>
    </row>
    <row r="523" spans="1:18" ht="12.75">
      <c r="A523" s="122"/>
      <c r="B523" s="83"/>
      <c r="C523" s="83"/>
      <c r="D523" s="83"/>
      <c r="E523" s="83"/>
      <c r="F523" s="83"/>
      <c r="G523" s="83"/>
      <c r="H523" s="83"/>
      <c r="I523" s="83"/>
      <c r="J523" s="83"/>
      <c r="K523" s="83"/>
      <c r="L523" s="83"/>
      <c r="M523" s="87"/>
      <c r="O523" s="35">
        <f t="shared" si="21"/>
        <v>0.4</v>
      </c>
      <c r="P523" s="9">
        <f t="shared" si="22"/>
        <v>3820</v>
      </c>
      <c r="Q523" s="9">
        <f t="shared" si="23"/>
        <v>2234</v>
      </c>
      <c r="R523" s="36">
        <f t="shared" si="24"/>
        <v>968</v>
      </c>
    </row>
    <row r="524" spans="1:18" ht="12.75">
      <c r="A524" s="122"/>
      <c r="B524" s="83"/>
      <c r="C524" s="83"/>
      <c r="D524" s="83"/>
      <c r="E524" s="83"/>
      <c r="F524" s="83"/>
      <c r="G524" s="83"/>
      <c r="H524" s="83"/>
      <c r="I524" s="83"/>
      <c r="J524" s="83"/>
      <c r="K524" s="83"/>
      <c r="L524" s="83"/>
      <c r="M524" s="87"/>
      <c r="O524" s="37">
        <f t="shared" si="21"/>
        <v>0.5</v>
      </c>
      <c r="P524" s="38">
        <f t="shared" si="22"/>
        <v>4357</v>
      </c>
      <c r="Q524" s="38">
        <f t="shared" si="23"/>
        <v>2664</v>
      </c>
      <c r="R524" s="39">
        <f t="shared" si="24"/>
        <v>1108</v>
      </c>
    </row>
    <row r="525" spans="1:13" ht="12.75">
      <c r="A525" s="122"/>
      <c r="B525" s="83"/>
      <c r="C525" s="83"/>
      <c r="D525" s="83"/>
      <c r="E525" s="83"/>
      <c r="F525" s="83"/>
      <c r="G525" s="83"/>
      <c r="H525" s="83"/>
      <c r="I525" s="83"/>
      <c r="J525" s="83"/>
      <c r="K525" s="83"/>
      <c r="L525" s="83"/>
      <c r="M525" s="87"/>
    </row>
    <row r="526" spans="1:13" ht="12.75">
      <c r="A526" s="122"/>
      <c r="B526" s="83"/>
      <c r="C526" s="83"/>
      <c r="D526" s="83"/>
      <c r="E526" s="83"/>
      <c r="F526" s="83"/>
      <c r="G526" s="83"/>
      <c r="H526" s="83"/>
      <c r="I526" s="83"/>
      <c r="J526" s="83"/>
      <c r="K526" s="83"/>
      <c r="L526" s="83"/>
      <c r="M526" s="87"/>
    </row>
    <row r="527" spans="1:17" ht="12.75">
      <c r="A527" s="122"/>
      <c r="B527" s="83"/>
      <c r="C527" s="83"/>
      <c r="D527" s="83"/>
      <c r="E527" s="83"/>
      <c r="F527" s="83"/>
      <c r="G527" s="83"/>
      <c r="H527" s="83"/>
      <c r="I527" s="83"/>
      <c r="J527" s="83"/>
      <c r="K527" s="83"/>
      <c r="L527" s="83"/>
      <c r="M527" s="87"/>
      <c r="O527" s="40"/>
      <c r="P527" s="33"/>
      <c r="Q527" s="34"/>
    </row>
    <row r="528" spans="1:17" ht="12.75">
      <c r="A528" s="122"/>
      <c r="B528" s="83"/>
      <c r="C528" s="83"/>
      <c r="D528" s="83"/>
      <c r="E528" s="83"/>
      <c r="F528" s="83"/>
      <c r="G528" s="83"/>
      <c r="H528" s="83"/>
      <c r="I528" s="83"/>
      <c r="J528" s="83"/>
      <c r="K528" s="83"/>
      <c r="L528" s="83"/>
      <c r="M528" s="87"/>
      <c r="O528" s="41" t="s">
        <v>134</v>
      </c>
      <c r="P528" s="9" t="s">
        <v>136</v>
      </c>
      <c r="Q528" s="36" t="s">
        <v>135</v>
      </c>
    </row>
    <row r="529" spans="1:17" ht="12.75">
      <c r="A529" s="122"/>
      <c r="B529" s="83"/>
      <c r="C529" s="83"/>
      <c r="D529" s="83"/>
      <c r="E529" s="83"/>
      <c r="F529" s="83"/>
      <c r="G529" s="83"/>
      <c r="H529" s="83"/>
      <c r="I529" s="83"/>
      <c r="J529" s="83"/>
      <c r="K529" s="83"/>
      <c r="L529" s="83"/>
      <c r="M529" s="87"/>
      <c r="O529" s="41"/>
      <c r="P529" s="42">
        <f>P530-2</f>
        <v>33</v>
      </c>
      <c r="Q529" s="43">
        <v>1.2</v>
      </c>
    </row>
    <row r="530" spans="1:17" ht="12.75">
      <c r="A530" s="122"/>
      <c r="B530" s="83"/>
      <c r="C530" s="83"/>
      <c r="D530" s="83"/>
      <c r="E530" s="83"/>
      <c r="F530" s="83"/>
      <c r="G530" s="83"/>
      <c r="H530" s="83"/>
      <c r="I530" s="83"/>
      <c r="J530" s="83"/>
      <c r="K530" s="83"/>
      <c r="L530" s="83"/>
      <c r="M530" s="87"/>
      <c r="O530" s="41" t="s">
        <v>131</v>
      </c>
      <c r="P530" s="44">
        <f>MIN(M487:M488)</f>
        <v>35</v>
      </c>
      <c r="Q530" s="45">
        <f>K470</f>
        <v>1.6870920365535245</v>
      </c>
    </row>
    <row r="531" spans="1:17" ht="12.75">
      <c r="A531" s="122"/>
      <c r="B531" s="83"/>
      <c r="C531" s="83"/>
      <c r="D531" s="83"/>
      <c r="E531" s="83"/>
      <c r="F531" s="83"/>
      <c r="G531" s="83"/>
      <c r="H531" s="83"/>
      <c r="I531" s="83"/>
      <c r="J531" s="83"/>
      <c r="K531" s="83"/>
      <c r="L531" s="83"/>
      <c r="M531" s="87"/>
      <c r="O531" s="41" t="s">
        <v>132</v>
      </c>
      <c r="P531" s="44">
        <f>MIN(J487:J488)</f>
        <v>56.8</v>
      </c>
      <c r="Q531" s="45">
        <f>H470</f>
        <v>1.760961865461181</v>
      </c>
    </row>
    <row r="532" spans="1:17" ht="12.75">
      <c r="A532" s="122"/>
      <c r="B532" s="83"/>
      <c r="C532" s="83"/>
      <c r="D532" s="83"/>
      <c r="E532" s="83"/>
      <c r="F532" s="83"/>
      <c r="G532" s="83"/>
      <c r="H532" s="83"/>
      <c r="I532" s="83"/>
      <c r="J532" s="83"/>
      <c r="K532" s="83"/>
      <c r="L532" s="83"/>
      <c r="M532" s="87"/>
      <c r="O532" s="41" t="s">
        <v>133</v>
      </c>
      <c r="P532" s="44">
        <f>MIN(G487:G488)</f>
        <v>102.5</v>
      </c>
      <c r="Q532" s="45">
        <f>E470</f>
        <v>1.8204120654196168</v>
      </c>
    </row>
    <row r="533" spans="1:17" ht="12.75">
      <c r="A533" s="122"/>
      <c r="B533" s="83"/>
      <c r="C533" s="83"/>
      <c r="D533" s="68"/>
      <c r="E533" s="68"/>
      <c r="F533" s="68"/>
      <c r="G533" s="68"/>
      <c r="H533" s="68"/>
      <c r="I533" s="68"/>
      <c r="J533" s="68"/>
      <c r="K533" s="68"/>
      <c r="L533" s="68"/>
      <c r="M533" s="87"/>
      <c r="O533" s="46"/>
      <c r="P533" s="47">
        <f>P532+2</f>
        <v>104.5</v>
      </c>
      <c r="Q533" s="48">
        <v>2.2</v>
      </c>
    </row>
    <row r="534" spans="1:13" ht="12.75">
      <c r="A534" s="122"/>
      <c r="B534" s="83"/>
      <c r="C534" s="83"/>
      <c r="D534" s="68"/>
      <c r="E534" s="68"/>
      <c r="F534" s="68"/>
      <c r="G534" s="68"/>
      <c r="H534" s="68"/>
      <c r="I534" s="68"/>
      <c r="J534" s="68"/>
      <c r="K534" s="68"/>
      <c r="L534" s="68"/>
      <c r="M534" s="87"/>
    </row>
    <row r="535" spans="1:13" ht="12.75">
      <c r="A535" s="122"/>
      <c r="B535" s="83"/>
      <c r="C535" s="83"/>
      <c r="D535" s="68"/>
      <c r="E535" s="68"/>
      <c r="F535" s="68"/>
      <c r="G535" s="68"/>
      <c r="H535" s="68"/>
      <c r="I535" s="68"/>
      <c r="J535" s="68"/>
      <c r="K535" s="68"/>
      <c r="L535" s="68"/>
      <c r="M535" s="87"/>
    </row>
    <row r="536" spans="1:13" ht="12.75">
      <c r="A536" s="122"/>
      <c r="B536" s="83"/>
      <c r="C536" s="83"/>
      <c r="D536" s="68"/>
      <c r="E536" s="68"/>
      <c r="F536" s="68"/>
      <c r="G536" s="68"/>
      <c r="H536" s="68"/>
      <c r="I536" s="68"/>
      <c r="J536" s="68"/>
      <c r="K536" s="557" t="s">
        <v>139</v>
      </c>
      <c r="L536" s="83"/>
      <c r="M536" s="87"/>
    </row>
    <row r="537" spans="1:16" ht="12.75">
      <c r="A537" s="122"/>
      <c r="B537" s="83"/>
      <c r="C537" s="83"/>
      <c r="D537" s="83"/>
      <c r="E537" s="83"/>
      <c r="F537" s="83"/>
      <c r="G537" s="83"/>
      <c r="H537" s="83"/>
      <c r="I537" s="83"/>
      <c r="J537" s="83"/>
      <c r="K537" s="83"/>
      <c r="L537" s="83"/>
      <c r="M537" s="87"/>
      <c r="O537" s="40" t="s">
        <v>137</v>
      </c>
      <c r="P537" s="34"/>
    </row>
    <row r="538" spans="1:16" ht="12.75">
      <c r="A538" s="122"/>
      <c r="B538" s="83"/>
      <c r="C538" s="83"/>
      <c r="D538" s="83"/>
      <c r="E538" s="83"/>
      <c r="F538" s="83"/>
      <c r="G538" s="83"/>
      <c r="H538" s="83"/>
      <c r="I538" s="83"/>
      <c r="J538" s="83"/>
      <c r="K538" s="558" t="s">
        <v>141</v>
      </c>
      <c r="L538" s="560">
        <f>(MIN(G487:G491))/100</f>
        <v>1.025</v>
      </c>
      <c r="M538" s="561" t="s">
        <v>23</v>
      </c>
      <c r="O538" s="41"/>
      <c r="P538" s="36"/>
    </row>
    <row r="539" spans="1:16" ht="12.75">
      <c r="A539" s="122"/>
      <c r="B539" s="83"/>
      <c r="C539" s="83"/>
      <c r="D539" s="83"/>
      <c r="E539" s="83"/>
      <c r="F539" s="83"/>
      <c r="G539" s="83"/>
      <c r="H539" s="83"/>
      <c r="I539" s="83"/>
      <c r="J539" s="83"/>
      <c r="K539" s="9"/>
      <c r="L539" s="9"/>
      <c r="M539" s="76"/>
      <c r="O539" s="49">
        <f>P529-1</f>
        <v>32</v>
      </c>
      <c r="P539" s="45">
        <f>J449</f>
        <v>1.762</v>
      </c>
    </row>
    <row r="540" spans="1:17" ht="12.75">
      <c r="A540" s="122"/>
      <c r="B540" s="83"/>
      <c r="C540" s="83"/>
      <c r="D540" s="83"/>
      <c r="E540" s="83"/>
      <c r="F540" s="83"/>
      <c r="G540" s="83"/>
      <c r="H540" s="83"/>
      <c r="I540" s="83"/>
      <c r="J540" s="83"/>
      <c r="K540" s="9"/>
      <c r="L540" s="9"/>
      <c r="M540" s="76"/>
      <c r="O540" s="49">
        <f>P533+1</f>
        <v>105.5</v>
      </c>
      <c r="P540" s="45">
        <f>P539</f>
        <v>1.762</v>
      </c>
      <c r="Q540" s="169">
        <v>5</v>
      </c>
    </row>
    <row r="541" spans="1:16" ht="12.75">
      <c r="A541" s="122"/>
      <c r="B541" s="83"/>
      <c r="C541" s="83"/>
      <c r="D541" s="83"/>
      <c r="E541" s="83"/>
      <c r="F541" s="83"/>
      <c r="G541" s="83"/>
      <c r="H541" s="83"/>
      <c r="I541" s="83"/>
      <c r="J541" s="83"/>
      <c r="K541" s="83"/>
      <c r="L541" s="83"/>
      <c r="M541" s="87"/>
      <c r="O541" s="41"/>
      <c r="P541" s="36"/>
    </row>
    <row r="542" spans="1:16" ht="12.75">
      <c r="A542" s="122"/>
      <c r="B542" s="83"/>
      <c r="C542" s="83"/>
      <c r="D542" s="83"/>
      <c r="E542" s="83"/>
      <c r="F542" s="83"/>
      <c r="G542" s="83"/>
      <c r="H542" s="83"/>
      <c r="I542" s="83"/>
      <c r="J542" s="83"/>
      <c r="K542" s="557" t="s">
        <v>140</v>
      </c>
      <c r="L542" s="83"/>
      <c r="M542" s="87"/>
      <c r="O542" s="41" t="s">
        <v>138</v>
      </c>
      <c r="P542" s="36"/>
    </row>
    <row r="543" spans="1:16" ht="12.75">
      <c r="A543" s="122"/>
      <c r="B543" s="83"/>
      <c r="C543" s="83"/>
      <c r="D543" s="83"/>
      <c r="E543" s="83"/>
      <c r="F543" s="83"/>
      <c r="G543" s="83"/>
      <c r="H543" s="83"/>
      <c r="I543" s="83"/>
      <c r="J543" s="83"/>
      <c r="K543" s="83"/>
      <c r="L543" s="83"/>
      <c r="M543" s="87"/>
      <c r="O543" s="41"/>
      <c r="P543" s="36"/>
    </row>
    <row r="544" spans="1:16" ht="12.75">
      <c r="A544" s="122"/>
      <c r="B544" s="83"/>
      <c r="C544" s="83"/>
      <c r="D544" s="83"/>
      <c r="E544" s="83"/>
      <c r="F544" s="83"/>
      <c r="G544" s="83"/>
      <c r="H544" s="83"/>
      <c r="I544" s="83"/>
      <c r="J544" s="83"/>
      <c r="K544" s="558" t="s">
        <v>141</v>
      </c>
      <c r="L544" s="560">
        <f>L538*0.95</f>
        <v>0.9737499999999999</v>
      </c>
      <c r="M544" s="561" t="s">
        <v>23</v>
      </c>
      <c r="O544" s="49">
        <f>O539</f>
        <v>32</v>
      </c>
      <c r="P544" s="45">
        <f>0.95*P539</f>
        <v>1.6739</v>
      </c>
    </row>
    <row r="545" spans="1:16" ht="12.75">
      <c r="A545" s="122"/>
      <c r="B545" s="83"/>
      <c r="C545" s="83"/>
      <c r="D545" s="83"/>
      <c r="E545" s="83"/>
      <c r="F545" s="83"/>
      <c r="G545" s="83"/>
      <c r="H545" s="83"/>
      <c r="I545" s="83"/>
      <c r="J545" s="83"/>
      <c r="K545" s="9"/>
      <c r="L545" s="9"/>
      <c r="M545" s="76"/>
      <c r="O545" s="50">
        <f>O540</f>
        <v>105.5</v>
      </c>
      <c r="P545" s="51">
        <f>0.95*P540</f>
        <v>1.6739</v>
      </c>
    </row>
    <row r="546" spans="1:13" ht="12.75">
      <c r="A546" s="122"/>
      <c r="B546" s="83"/>
      <c r="C546" s="83"/>
      <c r="D546" s="83"/>
      <c r="E546" s="83"/>
      <c r="F546" s="83"/>
      <c r="G546" s="83"/>
      <c r="H546" s="83"/>
      <c r="I546" s="83"/>
      <c r="J546" s="83"/>
      <c r="K546" s="83"/>
      <c r="L546" s="83"/>
      <c r="M546" s="87"/>
    </row>
    <row r="547" spans="1:13" ht="12.75">
      <c r="A547" s="122"/>
      <c r="B547" s="83"/>
      <c r="C547" s="83"/>
      <c r="D547" s="83"/>
      <c r="E547" s="83"/>
      <c r="F547" s="83"/>
      <c r="G547" s="83"/>
      <c r="H547" s="83"/>
      <c r="I547" s="83"/>
      <c r="J547" s="83"/>
      <c r="K547" s="559" t="s">
        <v>168</v>
      </c>
      <c r="L547" s="576">
        <f>J478</f>
        <v>1.0564991334488738</v>
      </c>
      <c r="M547" s="87"/>
    </row>
    <row r="548" spans="1:13" ht="12.75">
      <c r="A548" s="122"/>
      <c r="B548" s="83"/>
      <c r="C548" s="83"/>
      <c r="D548" s="83"/>
      <c r="E548" s="83"/>
      <c r="F548" s="83"/>
      <c r="G548" s="83"/>
      <c r="H548" s="83"/>
      <c r="I548" s="83"/>
      <c r="J548" s="83"/>
      <c r="K548" s="83"/>
      <c r="L548" s="83"/>
      <c r="M548" s="87"/>
    </row>
    <row r="549" spans="1:13" ht="12.75">
      <c r="A549" s="122"/>
      <c r="B549" s="83"/>
      <c r="C549" s="83"/>
      <c r="D549" s="83"/>
      <c r="E549" s="83"/>
      <c r="F549" s="83"/>
      <c r="G549" s="83"/>
      <c r="H549" s="83"/>
      <c r="I549" s="83"/>
      <c r="J549" s="83"/>
      <c r="K549" s="83"/>
      <c r="L549" s="83"/>
      <c r="M549" s="87"/>
    </row>
    <row r="550" spans="1:13" ht="13.5" thickBot="1">
      <c r="A550" s="122"/>
      <c r="B550" s="83"/>
      <c r="C550" s="83"/>
      <c r="D550" s="83"/>
      <c r="E550" s="83"/>
      <c r="F550" s="559" t="s">
        <v>205</v>
      </c>
      <c r="G550" s="584">
        <f>L544</f>
        <v>0.9737499999999999</v>
      </c>
      <c r="H550" s="83"/>
      <c r="I550" s="83"/>
      <c r="J550" s="83"/>
      <c r="K550" s="83"/>
      <c r="L550" s="83"/>
      <c r="M550" s="87"/>
    </row>
    <row r="551" spans="1:13" ht="13.5" thickBot="1">
      <c r="A551" s="637" t="s">
        <v>237</v>
      </c>
      <c r="B551" s="638"/>
      <c r="C551" s="638"/>
      <c r="D551" s="638"/>
      <c r="E551" s="638"/>
      <c r="F551" s="638"/>
      <c r="G551" s="638"/>
      <c r="H551" s="638"/>
      <c r="I551" s="638"/>
      <c r="J551" s="638"/>
      <c r="K551" s="638"/>
      <c r="L551" s="638"/>
      <c r="M551" s="639"/>
    </row>
    <row r="552" spans="1:13" ht="13.5" thickBot="1">
      <c r="A552" s="69"/>
      <c r="B552" s="6"/>
      <c r="C552" s="6"/>
      <c r="D552" s="9"/>
      <c r="E552" s="9"/>
      <c r="F552" s="9"/>
      <c r="G552" s="9"/>
      <c r="H552" s="9"/>
      <c r="I552" s="9"/>
      <c r="J552" s="9"/>
      <c r="K552" s="9"/>
      <c r="L552" s="9"/>
      <c r="M552" s="76"/>
    </row>
    <row r="553" spans="1:13" ht="13.5" thickTop="1">
      <c r="A553" s="723" t="s">
        <v>2</v>
      </c>
      <c r="B553" s="724"/>
      <c r="C553" s="725"/>
      <c r="D553" s="177" t="s">
        <v>3</v>
      </c>
      <c r="E553" s="9"/>
      <c r="F553" s="9"/>
      <c r="G553" s="9"/>
      <c r="H553" s="9"/>
      <c r="I553" s="9"/>
      <c r="J553" s="9"/>
      <c r="K553" s="9"/>
      <c r="L553" s="9"/>
      <c r="M553" s="76"/>
    </row>
    <row r="554" spans="1:13" ht="12.75">
      <c r="A554" s="726" t="s">
        <v>1</v>
      </c>
      <c r="B554" s="727"/>
      <c r="C554" s="728"/>
      <c r="D554" s="178" t="s">
        <v>211</v>
      </c>
      <c r="E554" s="12"/>
      <c r="F554" s="9"/>
      <c r="G554" s="9"/>
      <c r="H554" s="9"/>
      <c r="I554" s="9"/>
      <c r="J554" s="9"/>
      <c r="K554" s="9"/>
      <c r="L554" s="9"/>
      <c r="M554" s="76"/>
    </row>
    <row r="555" spans="1:13" ht="13.5" thickBot="1">
      <c r="A555" s="729" t="s">
        <v>4</v>
      </c>
      <c r="B555" s="730"/>
      <c r="C555" s="731"/>
      <c r="D555" s="456" t="s">
        <v>70</v>
      </c>
      <c r="E555" s="6"/>
      <c r="F555" s="12"/>
      <c r="G555" s="9"/>
      <c r="H555" s="9"/>
      <c r="I555" s="9"/>
      <c r="J555" s="9"/>
      <c r="K555" s="9"/>
      <c r="L555" s="9"/>
      <c r="M555" s="76"/>
    </row>
    <row r="556" spans="1:13" ht="13.5" thickTop="1">
      <c r="A556" s="82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76"/>
    </row>
    <row r="557" spans="1:13" ht="12.75">
      <c r="A557" s="82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76"/>
    </row>
    <row r="558" spans="1:13" ht="13.5" thickBot="1">
      <c r="A558" s="82"/>
      <c r="B558" s="9"/>
      <c r="C558" s="9"/>
      <c r="D558" s="716" t="s">
        <v>78</v>
      </c>
      <c r="E558" s="716"/>
      <c r="F558" s="716"/>
      <c r="G558" s="716"/>
      <c r="H558" s="716"/>
      <c r="I558" s="716"/>
      <c r="J558" s="716"/>
      <c r="K558" s="9"/>
      <c r="L558" s="9"/>
      <c r="M558" s="76"/>
    </row>
    <row r="559" spans="1:13" ht="14.25" thickBot="1">
      <c r="A559" s="82"/>
      <c r="B559" s="9"/>
      <c r="C559" s="9"/>
      <c r="D559" s="307" t="s">
        <v>79</v>
      </c>
      <c r="E559" s="307" t="s">
        <v>80</v>
      </c>
      <c r="F559" s="307" t="s">
        <v>81</v>
      </c>
      <c r="G559" s="717" t="s">
        <v>115</v>
      </c>
      <c r="H559" s="718"/>
      <c r="I559" s="457" t="s">
        <v>100</v>
      </c>
      <c r="J559" s="308" t="s">
        <v>99</v>
      </c>
      <c r="K559" s="9"/>
      <c r="L559" s="9"/>
      <c r="M559" s="76"/>
    </row>
    <row r="560" spans="1:13" ht="13.5" thickBot="1">
      <c r="A560" s="82"/>
      <c r="B560" s="9"/>
      <c r="C560" s="9"/>
      <c r="D560" s="571">
        <v>6</v>
      </c>
      <c r="E560" s="585">
        <f>limites!F283</f>
        <v>26.493103792126192</v>
      </c>
      <c r="F560" s="573">
        <f>limites!F284</f>
        <v>21.845588235294123</v>
      </c>
      <c r="G560" s="720" t="s">
        <v>216</v>
      </c>
      <c r="H560" s="721"/>
      <c r="I560" s="585">
        <f>compactacion!F299</f>
        <v>8.6</v>
      </c>
      <c r="J560" s="581">
        <f>compactacion!F298</f>
        <v>2.16</v>
      </c>
      <c r="K560" s="9"/>
      <c r="L560" s="9"/>
      <c r="M560" s="76"/>
    </row>
    <row r="561" spans="1:13" ht="12.75">
      <c r="A561" s="82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76"/>
    </row>
    <row r="562" spans="1:13" ht="13.5" thickBot="1">
      <c r="A562" s="82"/>
      <c r="B562" s="9"/>
      <c r="C562" s="9"/>
      <c r="D562" s="722" t="s">
        <v>101</v>
      </c>
      <c r="E562" s="722"/>
      <c r="F562" s="722"/>
      <c r="G562" s="722"/>
      <c r="H562" s="722"/>
      <c r="I562" s="722"/>
      <c r="J562" s="722"/>
      <c r="K562" s="9"/>
      <c r="L562" s="9"/>
      <c r="M562" s="76"/>
    </row>
    <row r="563" spans="1:13" ht="13.5" thickTop="1">
      <c r="A563" s="463" t="s">
        <v>142</v>
      </c>
      <c r="B563" s="464"/>
      <c r="C563" s="465"/>
      <c r="D563" s="466"/>
      <c r="E563" s="683">
        <v>1</v>
      </c>
      <c r="F563" s="684"/>
      <c r="G563" s="686"/>
      <c r="H563" s="683">
        <v>4</v>
      </c>
      <c r="I563" s="684"/>
      <c r="J563" s="686"/>
      <c r="K563" s="683">
        <v>4</v>
      </c>
      <c r="L563" s="684"/>
      <c r="M563" s="685"/>
    </row>
    <row r="564" spans="1:13" ht="12.75">
      <c r="A564" s="467" t="s">
        <v>143</v>
      </c>
      <c r="B564" s="468"/>
      <c r="C564" s="469"/>
      <c r="D564" s="470"/>
      <c r="E564" s="687">
        <v>5</v>
      </c>
      <c r="F564" s="688"/>
      <c r="G564" s="689"/>
      <c r="H564" s="687">
        <v>5</v>
      </c>
      <c r="I564" s="688"/>
      <c r="J564" s="689"/>
      <c r="K564" s="687">
        <v>5</v>
      </c>
      <c r="L564" s="688"/>
      <c r="M564" s="719"/>
    </row>
    <row r="565" spans="1:13" ht="12.75">
      <c r="A565" s="471" t="s">
        <v>144</v>
      </c>
      <c r="B565" s="472"/>
      <c r="C565" s="473"/>
      <c r="D565" s="474"/>
      <c r="E565" s="710">
        <v>56</v>
      </c>
      <c r="F565" s="711"/>
      <c r="G565" s="712"/>
      <c r="H565" s="710">
        <v>25</v>
      </c>
      <c r="I565" s="711"/>
      <c r="J565" s="712"/>
      <c r="K565" s="710">
        <v>12</v>
      </c>
      <c r="L565" s="711"/>
      <c r="M565" s="713"/>
    </row>
    <row r="566" spans="1:13" ht="12.75">
      <c r="A566" s="475" t="s">
        <v>145</v>
      </c>
      <c r="B566" s="476"/>
      <c r="C566" s="477"/>
      <c r="D566" s="478"/>
      <c r="E566" s="714" t="s">
        <v>83</v>
      </c>
      <c r="F566" s="715"/>
      <c r="G566" s="480" t="s">
        <v>116</v>
      </c>
      <c r="H566" s="714" t="s">
        <v>83</v>
      </c>
      <c r="I566" s="715"/>
      <c r="J566" s="480" t="s">
        <v>116</v>
      </c>
      <c r="K566" s="714" t="s">
        <v>83</v>
      </c>
      <c r="L566" s="715"/>
      <c r="M566" s="481" t="s">
        <v>116</v>
      </c>
    </row>
    <row r="567" spans="1:13" ht="12.75">
      <c r="A567" s="482" t="s">
        <v>146</v>
      </c>
      <c r="B567" s="483"/>
      <c r="C567" s="484"/>
      <c r="D567" s="485"/>
      <c r="E567" s="708">
        <v>9125</v>
      </c>
      <c r="F567" s="709"/>
      <c r="G567" s="487">
        <v>9250</v>
      </c>
      <c r="H567" s="708">
        <v>9052</v>
      </c>
      <c r="I567" s="709"/>
      <c r="J567" s="487">
        <v>9120</v>
      </c>
      <c r="K567" s="708">
        <v>8770</v>
      </c>
      <c r="L567" s="709"/>
      <c r="M567" s="488">
        <v>8490</v>
      </c>
    </row>
    <row r="568" spans="1:13" ht="12.75">
      <c r="A568" s="467" t="s">
        <v>147</v>
      </c>
      <c r="B568" s="468"/>
      <c r="C568" s="469"/>
      <c r="D568" s="470"/>
      <c r="E568" s="688">
        <v>4324</v>
      </c>
      <c r="F568" s="689"/>
      <c r="G568" s="489">
        <v>4324</v>
      </c>
      <c r="H568" s="687">
        <v>4392</v>
      </c>
      <c r="I568" s="689"/>
      <c r="J568" s="489">
        <v>4392</v>
      </c>
      <c r="K568" s="687">
        <v>4331</v>
      </c>
      <c r="L568" s="689"/>
      <c r="M568" s="490">
        <v>4331</v>
      </c>
    </row>
    <row r="569" spans="1:13" ht="12.75">
      <c r="A569" s="467" t="s">
        <v>153</v>
      </c>
      <c r="B569" s="468"/>
      <c r="C569" s="469"/>
      <c r="D569" s="470"/>
      <c r="E569" s="701">
        <f>E567-E568</f>
        <v>4801</v>
      </c>
      <c r="F569" s="702"/>
      <c r="G569" s="489">
        <f>G567-G568</f>
        <v>4926</v>
      </c>
      <c r="H569" s="701">
        <f>H567-H568</f>
        <v>4660</v>
      </c>
      <c r="I569" s="702"/>
      <c r="J569" s="489">
        <f>J567-J568</f>
        <v>4728</v>
      </c>
      <c r="K569" s="701">
        <f>K567-K568</f>
        <v>4439</v>
      </c>
      <c r="L569" s="702"/>
      <c r="M569" s="490">
        <f>M567-M568</f>
        <v>4159</v>
      </c>
    </row>
    <row r="570" spans="1:13" ht="12.75">
      <c r="A570" s="467" t="s">
        <v>148</v>
      </c>
      <c r="B570" s="468"/>
      <c r="C570" s="469"/>
      <c r="D570" s="470"/>
      <c r="E570" s="701">
        <v>2040</v>
      </c>
      <c r="F570" s="689"/>
      <c r="G570" s="491">
        <v>2040</v>
      </c>
      <c r="H570" s="703">
        <v>2080</v>
      </c>
      <c r="I570" s="689"/>
      <c r="J570" s="491">
        <v>2080</v>
      </c>
      <c r="K570" s="703">
        <v>2077</v>
      </c>
      <c r="L570" s="689"/>
      <c r="M570" s="492">
        <v>2077</v>
      </c>
    </row>
    <row r="571" spans="1:13" ht="13.5">
      <c r="A571" s="471" t="s">
        <v>166</v>
      </c>
      <c r="B571" s="472"/>
      <c r="C571" s="473"/>
      <c r="D571" s="474"/>
      <c r="E571" s="704">
        <f>E569/E570</f>
        <v>2.3534313725490197</v>
      </c>
      <c r="F571" s="705"/>
      <c r="G571" s="493">
        <f>G569/G570</f>
        <v>2.414705882352941</v>
      </c>
      <c r="H571" s="704">
        <f>H569/H570</f>
        <v>2.2403846153846154</v>
      </c>
      <c r="I571" s="705"/>
      <c r="J571" s="493">
        <f>J569/J570</f>
        <v>2.273076923076923</v>
      </c>
      <c r="K571" s="704">
        <f>K569/K570</f>
        <v>2.137217140105922</v>
      </c>
      <c r="L571" s="705"/>
      <c r="M571" s="494">
        <f>M569/M570</f>
        <v>2.002407318247472</v>
      </c>
    </row>
    <row r="572" spans="1:13" ht="12.75">
      <c r="A572" s="475" t="s">
        <v>149</v>
      </c>
      <c r="B572" s="476"/>
      <c r="C572" s="477"/>
      <c r="D572" s="478"/>
      <c r="E572" s="479" t="s">
        <v>82</v>
      </c>
      <c r="F572" s="495" t="s">
        <v>117</v>
      </c>
      <c r="G572" s="495" t="s">
        <v>129</v>
      </c>
      <c r="H572" s="495" t="s">
        <v>82</v>
      </c>
      <c r="I572" s="495" t="s">
        <v>117</v>
      </c>
      <c r="J572" s="495" t="s">
        <v>129</v>
      </c>
      <c r="K572" s="495" t="s">
        <v>82</v>
      </c>
      <c r="L572" s="495" t="s">
        <v>117</v>
      </c>
      <c r="M572" s="496" t="s">
        <v>129</v>
      </c>
    </row>
    <row r="573" spans="1:13" ht="12.75">
      <c r="A573" s="482" t="s">
        <v>154</v>
      </c>
      <c r="B573" s="483"/>
      <c r="C573" s="484"/>
      <c r="D573" s="485"/>
      <c r="E573" s="486">
        <v>3</v>
      </c>
      <c r="F573" s="487"/>
      <c r="G573" s="487" t="s">
        <v>170</v>
      </c>
      <c r="H573" s="487">
        <v>5</v>
      </c>
      <c r="I573" s="487"/>
      <c r="J573" s="487" t="s">
        <v>171</v>
      </c>
      <c r="K573" s="487">
        <v>11</v>
      </c>
      <c r="L573" s="487"/>
      <c r="M573" s="488" t="s">
        <v>172</v>
      </c>
    </row>
    <row r="574" spans="1:13" ht="12.75">
      <c r="A574" s="467" t="s">
        <v>155</v>
      </c>
      <c r="B574" s="468"/>
      <c r="C574" s="469"/>
      <c r="D574" s="470"/>
      <c r="E574" s="497">
        <v>151</v>
      </c>
      <c r="F574" s="497"/>
      <c r="G574" s="498">
        <v>317</v>
      </c>
      <c r="H574" s="498">
        <v>203.7</v>
      </c>
      <c r="I574" s="498"/>
      <c r="J574" s="498">
        <v>345</v>
      </c>
      <c r="K574" s="498">
        <v>140.3</v>
      </c>
      <c r="L574" s="498"/>
      <c r="M574" s="499">
        <v>370</v>
      </c>
    </row>
    <row r="575" spans="1:13" ht="12.75">
      <c r="A575" s="467" t="s">
        <v>156</v>
      </c>
      <c r="B575" s="468"/>
      <c r="C575" s="469"/>
      <c r="D575" s="470"/>
      <c r="E575" s="497">
        <v>145.6</v>
      </c>
      <c r="F575" s="498"/>
      <c r="G575" s="498">
        <v>298</v>
      </c>
      <c r="H575" s="498">
        <v>189.6</v>
      </c>
      <c r="I575" s="498"/>
      <c r="J575" s="498">
        <v>322</v>
      </c>
      <c r="K575" s="498">
        <v>136</v>
      </c>
      <c r="L575" s="498"/>
      <c r="M575" s="499">
        <v>342</v>
      </c>
    </row>
    <row r="576" spans="1:13" ht="12.75">
      <c r="A576" s="467" t="s">
        <v>150</v>
      </c>
      <c r="B576" s="468"/>
      <c r="C576" s="469"/>
      <c r="D576" s="470"/>
      <c r="E576" s="497">
        <f>E574-E575</f>
        <v>5.400000000000006</v>
      </c>
      <c r="F576" s="497"/>
      <c r="G576" s="498">
        <f>G574-G575</f>
        <v>19</v>
      </c>
      <c r="H576" s="497">
        <f>H574-H575</f>
        <v>14.099999999999994</v>
      </c>
      <c r="I576" s="497"/>
      <c r="J576" s="497">
        <f>J574-J575</f>
        <v>23</v>
      </c>
      <c r="K576" s="497">
        <f>K574-K575</f>
        <v>4.300000000000011</v>
      </c>
      <c r="L576" s="497"/>
      <c r="M576" s="500">
        <f>M574-M575</f>
        <v>28</v>
      </c>
    </row>
    <row r="577" spans="1:13" ht="12.75">
      <c r="A577" s="467" t="s">
        <v>157</v>
      </c>
      <c r="B577" s="468"/>
      <c r="C577" s="469"/>
      <c r="D577" s="470"/>
      <c r="E577" s="497">
        <v>76.5</v>
      </c>
      <c r="F577" s="498"/>
      <c r="G577" s="498">
        <v>69.7</v>
      </c>
      <c r="H577" s="498">
        <v>67.1</v>
      </c>
      <c r="I577" s="498"/>
      <c r="J577" s="498">
        <v>77.2</v>
      </c>
      <c r="K577" s="498">
        <v>79</v>
      </c>
      <c r="L577" s="498"/>
      <c r="M577" s="499">
        <v>73.2</v>
      </c>
    </row>
    <row r="578" spans="1:13" ht="12.75">
      <c r="A578" s="467" t="s">
        <v>151</v>
      </c>
      <c r="B578" s="468"/>
      <c r="C578" s="469"/>
      <c r="D578" s="470"/>
      <c r="E578" s="497">
        <f>E575-E577</f>
        <v>69.1</v>
      </c>
      <c r="F578" s="497"/>
      <c r="G578" s="498">
        <f>G575-G577</f>
        <v>228.3</v>
      </c>
      <c r="H578" s="497">
        <f>H575-H577</f>
        <v>122.5</v>
      </c>
      <c r="I578" s="497"/>
      <c r="J578" s="497">
        <f>J575-J577</f>
        <v>244.8</v>
      </c>
      <c r="K578" s="497">
        <f>K575-K577</f>
        <v>57</v>
      </c>
      <c r="L578" s="497"/>
      <c r="M578" s="500">
        <f>M575-M577</f>
        <v>268.8</v>
      </c>
    </row>
    <row r="579" spans="1:13" ht="12.75">
      <c r="A579" s="467" t="s">
        <v>158</v>
      </c>
      <c r="B579" s="468"/>
      <c r="C579" s="469"/>
      <c r="D579" s="470"/>
      <c r="E579" s="497">
        <f>(E576/E578)*100</f>
        <v>7.814761215629532</v>
      </c>
      <c r="F579" s="497"/>
      <c r="G579" s="497">
        <f>(G576/G578)*100</f>
        <v>8.322382829610161</v>
      </c>
      <c r="H579" s="497">
        <f>H576*100/H578</f>
        <v>11.510204081632649</v>
      </c>
      <c r="I579" s="497"/>
      <c r="J579" s="497">
        <f>(J576/J578)*100</f>
        <v>9.395424836601308</v>
      </c>
      <c r="K579" s="497">
        <f>K576*100/K578</f>
        <v>7.543859649122827</v>
      </c>
      <c r="L579" s="497"/>
      <c r="M579" s="500">
        <f>(M576/M578)*100</f>
        <v>10.416666666666666</v>
      </c>
    </row>
    <row r="580" spans="1:13" ht="12.75">
      <c r="A580" s="467" t="s">
        <v>152</v>
      </c>
      <c r="B580" s="468"/>
      <c r="C580" s="469"/>
      <c r="D580" s="470"/>
      <c r="E580" s="706">
        <f>AVERAGE(E579:F579)</f>
        <v>7.814761215629532</v>
      </c>
      <c r="F580" s="707"/>
      <c r="G580" s="498"/>
      <c r="H580" s="706">
        <f>AVERAGE(H579:I579)</f>
        <v>11.510204081632649</v>
      </c>
      <c r="I580" s="707"/>
      <c r="J580" s="498"/>
      <c r="K580" s="706">
        <f>AVERAGE(K579:L579)</f>
        <v>7.543859649122827</v>
      </c>
      <c r="L580" s="707"/>
      <c r="M580" s="499"/>
    </row>
    <row r="581" spans="1:13" ht="14.25" thickBot="1">
      <c r="A581" s="501" t="s">
        <v>167</v>
      </c>
      <c r="B581" s="502"/>
      <c r="C581" s="503"/>
      <c r="D581" s="504"/>
      <c r="E581" s="677">
        <f>(E571*100/(E580+100))</f>
        <v>2.182847085142782</v>
      </c>
      <c r="F581" s="678"/>
      <c r="G581" s="505"/>
      <c r="H581" s="677">
        <f>(H571*100/(H580+100))</f>
        <v>2.0091296880279312</v>
      </c>
      <c r="I581" s="678"/>
      <c r="J581" s="505"/>
      <c r="K581" s="677">
        <f>(K571*100/(K580+100))</f>
        <v>1.987298156379079</v>
      </c>
      <c r="L581" s="678"/>
      <c r="M581" s="506"/>
    </row>
    <row r="582" spans="1:13" ht="13.5" thickTop="1">
      <c r="A582" s="114"/>
      <c r="B582" s="26"/>
      <c r="C582" s="26"/>
      <c r="D582" s="26"/>
      <c r="E582" s="27"/>
      <c r="F582" s="27"/>
      <c r="G582" s="26"/>
      <c r="H582" s="27"/>
      <c r="I582" s="27"/>
      <c r="J582" s="26"/>
      <c r="K582" s="27"/>
      <c r="L582" s="27"/>
      <c r="M582" s="115"/>
    </row>
    <row r="583" spans="1:13" ht="13.5" thickBot="1">
      <c r="A583" s="692" t="s">
        <v>90</v>
      </c>
      <c r="B583" s="693"/>
      <c r="C583" s="693"/>
      <c r="D583" s="693"/>
      <c r="E583" s="693"/>
      <c r="F583" s="693"/>
      <c r="G583" s="693"/>
      <c r="H583" s="693"/>
      <c r="I583" s="693"/>
      <c r="J583" s="693"/>
      <c r="K583" s="693"/>
      <c r="L583" s="693"/>
      <c r="M583" s="694"/>
    </row>
    <row r="584" spans="1:13" ht="13.5" thickTop="1">
      <c r="A584" s="671" t="s">
        <v>84</v>
      </c>
      <c r="B584" s="672"/>
      <c r="C584" s="672" t="s">
        <v>85</v>
      </c>
      <c r="D584" s="523" t="s">
        <v>86</v>
      </c>
      <c r="E584" s="675" t="s">
        <v>87</v>
      </c>
      <c r="F584" s="675"/>
      <c r="G584" s="675"/>
      <c r="H584" s="675" t="s">
        <v>118</v>
      </c>
      <c r="I584" s="675"/>
      <c r="J584" s="675"/>
      <c r="K584" s="675" t="s">
        <v>119</v>
      </c>
      <c r="L584" s="675"/>
      <c r="M584" s="676"/>
    </row>
    <row r="585" spans="1:13" ht="12.75">
      <c r="A585" s="673"/>
      <c r="B585" s="674"/>
      <c r="C585" s="674"/>
      <c r="D585" s="524" t="s">
        <v>127</v>
      </c>
      <c r="E585" s="524" t="s">
        <v>88</v>
      </c>
      <c r="F585" s="669" t="s">
        <v>90</v>
      </c>
      <c r="G585" s="669"/>
      <c r="H585" s="524" t="s">
        <v>88</v>
      </c>
      <c r="I585" s="669" t="s">
        <v>90</v>
      </c>
      <c r="J585" s="669"/>
      <c r="K585" s="524" t="s">
        <v>88</v>
      </c>
      <c r="L585" s="669" t="s">
        <v>90</v>
      </c>
      <c r="M585" s="670"/>
    </row>
    <row r="586" spans="1:13" ht="12.75">
      <c r="A586" s="673"/>
      <c r="B586" s="674"/>
      <c r="C586" s="674"/>
      <c r="D586" s="524" t="s">
        <v>128</v>
      </c>
      <c r="E586" s="524" t="s">
        <v>89</v>
      </c>
      <c r="F586" s="524" t="s">
        <v>91</v>
      </c>
      <c r="G586" s="524" t="s">
        <v>23</v>
      </c>
      <c r="H586" s="524" t="s">
        <v>89</v>
      </c>
      <c r="I586" s="524" t="s">
        <v>91</v>
      </c>
      <c r="J586" s="524" t="s">
        <v>23</v>
      </c>
      <c r="K586" s="524" t="s">
        <v>89</v>
      </c>
      <c r="L586" s="524" t="s">
        <v>91</v>
      </c>
      <c r="M586" s="525" t="s">
        <v>23</v>
      </c>
    </row>
    <row r="587" spans="1:13" ht="12.75">
      <c r="A587" s="699">
        <v>39145</v>
      </c>
      <c r="B587" s="700"/>
      <c r="C587" s="515">
        <v>0.3958333333333333</v>
      </c>
      <c r="D587" s="696">
        <v>4</v>
      </c>
      <c r="E587" s="516">
        <v>0</v>
      </c>
      <c r="F587" s="517">
        <f>E587*2.54</f>
        <v>0</v>
      </c>
      <c r="G587" s="517"/>
      <c r="H587" s="516">
        <v>0</v>
      </c>
      <c r="I587" s="517">
        <f>H587*2.54</f>
        <v>0</v>
      </c>
      <c r="J587" s="517"/>
      <c r="K587" s="516">
        <v>0</v>
      </c>
      <c r="L587" s="517">
        <f>K587*2.54</f>
        <v>0</v>
      </c>
      <c r="M587" s="518"/>
    </row>
    <row r="588" spans="1:18" ht="12.75">
      <c r="A588" s="699"/>
      <c r="B588" s="700"/>
      <c r="C588" s="515"/>
      <c r="D588" s="697"/>
      <c r="E588" s="516"/>
      <c r="F588" s="516"/>
      <c r="G588" s="582"/>
      <c r="H588" s="516"/>
      <c r="I588" s="516"/>
      <c r="J588" s="582"/>
      <c r="K588" s="516"/>
      <c r="L588" s="516"/>
      <c r="M588" s="583"/>
      <c r="P588" s="10" t="s">
        <v>159</v>
      </c>
      <c r="Q588" s="10" t="s">
        <v>160</v>
      </c>
      <c r="R588" s="10" t="s">
        <v>161</v>
      </c>
    </row>
    <row r="589" spans="1:18" ht="13.5" thickBot="1">
      <c r="A589" s="699">
        <v>39148</v>
      </c>
      <c r="B589" s="700"/>
      <c r="C589" s="515">
        <f>C587</f>
        <v>0.3958333333333333</v>
      </c>
      <c r="D589" s="698"/>
      <c r="E589" s="527">
        <v>0</v>
      </c>
      <c r="F589" s="528">
        <f>E589*2.54</f>
        <v>0</v>
      </c>
      <c r="G589" s="519">
        <f>(F589-F587)*100/P589</f>
        <v>0</v>
      </c>
      <c r="H589" s="527">
        <v>0</v>
      </c>
      <c r="I589" s="528">
        <f>H589*2.54</f>
        <v>0</v>
      </c>
      <c r="J589" s="519">
        <f>(I589-I587)*100/Q589</f>
        <v>0</v>
      </c>
      <c r="K589" s="527">
        <v>0</v>
      </c>
      <c r="L589" s="528">
        <f>K589*2.54</f>
        <v>0</v>
      </c>
      <c r="M589" s="529">
        <f>(L589-L587)*100/R589</f>
        <v>0</v>
      </c>
      <c r="O589" s="10" t="s">
        <v>163</v>
      </c>
      <c r="P589" s="17">
        <v>11.54</v>
      </c>
      <c r="Q589" s="17">
        <v>11.54</v>
      </c>
      <c r="R589" s="17">
        <v>11.59</v>
      </c>
    </row>
    <row r="590" spans="1:18" ht="13.5" thickTop="1">
      <c r="A590" s="114"/>
      <c r="B590" s="26"/>
      <c r="C590" s="26"/>
      <c r="D590" s="26"/>
      <c r="E590" s="26"/>
      <c r="F590" s="26"/>
      <c r="G590" s="9"/>
      <c r="H590" s="9"/>
      <c r="I590" s="26"/>
      <c r="J590" s="26"/>
      <c r="K590" s="26"/>
      <c r="L590" s="26"/>
      <c r="M590" s="115"/>
      <c r="O590" s="10" t="s">
        <v>162</v>
      </c>
      <c r="P590" s="17">
        <v>15.1</v>
      </c>
      <c r="Q590" s="17">
        <v>15.15</v>
      </c>
      <c r="R590" s="17">
        <v>15.2</v>
      </c>
    </row>
    <row r="591" spans="1:18" ht="13.5" thickBot="1">
      <c r="A591" s="692" t="s">
        <v>98</v>
      </c>
      <c r="B591" s="693"/>
      <c r="C591" s="693"/>
      <c r="D591" s="693"/>
      <c r="E591" s="693"/>
      <c r="F591" s="693"/>
      <c r="G591" s="693"/>
      <c r="H591" s="693"/>
      <c r="I591" s="693"/>
      <c r="J591" s="693"/>
      <c r="K591" s="693"/>
      <c r="L591" s="693"/>
      <c r="M591" s="694"/>
      <c r="O591" s="10" t="s">
        <v>164</v>
      </c>
      <c r="P591" s="19">
        <f>(PI()*P590^2/4)*P589</f>
        <v>2066.56745062635</v>
      </c>
      <c r="Q591" s="19">
        <f>(PI()*Q590^2/4)*Q589</f>
        <v>2080.27598651983</v>
      </c>
      <c r="R591" s="19">
        <f>(PI()*R590^2/4)*R589</f>
        <v>2103.1027594709053</v>
      </c>
    </row>
    <row r="592" spans="1:18" ht="13.5" thickTop="1">
      <c r="A592" s="695" t="s">
        <v>92</v>
      </c>
      <c r="B592" s="690"/>
      <c r="C592" s="690"/>
      <c r="D592" s="530" t="s">
        <v>95</v>
      </c>
      <c r="E592" s="690" t="s">
        <v>120</v>
      </c>
      <c r="F592" s="690"/>
      <c r="G592" s="691"/>
      <c r="H592" s="675" t="s">
        <v>121</v>
      </c>
      <c r="I592" s="675"/>
      <c r="J592" s="675"/>
      <c r="K592" s="675" t="s">
        <v>122</v>
      </c>
      <c r="L592" s="675"/>
      <c r="M592" s="676"/>
      <c r="Q592" s="26"/>
      <c r="R592" s="26"/>
    </row>
    <row r="593" spans="1:18" ht="12.75">
      <c r="A593" s="531"/>
      <c r="B593" s="532"/>
      <c r="C593" s="532"/>
      <c r="D593" s="533" t="s">
        <v>96</v>
      </c>
      <c r="E593" s="664" t="s">
        <v>123</v>
      </c>
      <c r="F593" s="665"/>
      <c r="G593" s="535" t="s">
        <v>130</v>
      </c>
      <c r="H593" s="664" t="s">
        <v>123</v>
      </c>
      <c r="I593" s="665"/>
      <c r="J593" s="535" t="s">
        <v>130</v>
      </c>
      <c r="K593" s="664" t="s">
        <v>123</v>
      </c>
      <c r="L593" s="665"/>
      <c r="M593" s="536" t="s">
        <v>130</v>
      </c>
      <c r="O593" s="19"/>
      <c r="Q593" s="26"/>
      <c r="R593" s="26"/>
    </row>
    <row r="594" spans="1:18" ht="12.75">
      <c r="A594" s="537" t="s">
        <v>93</v>
      </c>
      <c r="B594" s="524" t="s">
        <v>94</v>
      </c>
      <c r="C594" s="524" t="s">
        <v>91</v>
      </c>
      <c r="D594" s="538" t="s">
        <v>97</v>
      </c>
      <c r="E594" s="534" t="s">
        <v>124</v>
      </c>
      <c r="F594" s="524" t="s">
        <v>125</v>
      </c>
      <c r="G594" s="524" t="s">
        <v>23</v>
      </c>
      <c r="H594" s="524" t="s">
        <v>124</v>
      </c>
      <c r="I594" s="524" t="s">
        <v>125</v>
      </c>
      <c r="J594" s="524" t="s">
        <v>23</v>
      </c>
      <c r="K594" s="524" t="s">
        <v>124</v>
      </c>
      <c r="L594" s="524" t="s">
        <v>125</v>
      </c>
      <c r="M594" s="525" t="s">
        <v>23</v>
      </c>
      <c r="Q594" s="26"/>
      <c r="R594" s="26"/>
    </row>
    <row r="595" spans="1:18" ht="12.75">
      <c r="A595" s="539">
        <v>0.5</v>
      </c>
      <c r="B595" s="540">
        <v>0.025</v>
      </c>
      <c r="C595" s="541">
        <f aca="true" t="shared" si="25" ref="C595:C602">B595*2.54</f>
        <v>0.0635</v>
      </c>
      <c r="D595" s="509"/>
      <c r="E595" s="509">
        <v>50</v>
      </c>
      <c r="F595" s="509">
        <v>151</v>
      </c>
      <c r="G595" s="509"/>
      <c r="H595" s="509">
        <v>25</v>
      </c>
      <c r="I595" s="509">
        <v>84</v>
      </c>
      <c r="J595" s="509"/>
      <c r="K595" s="509">
        <v>20</v>
      </c>
      <c r="L595" s="509">
        <v>71</v>
      </c>
      <c r="M595" s="510"/>
      <c r="Q595" s="26"/>
      <c r="R595" s="26"/>
    </row>
    <row r="596" spans="1:18" ht="12.75">
      <c r="A596" s="542">
        <v>1</v>
      </c>
      <c r="B596" s="543">
        <v>0.05</v>
      </c>
      <c r="C596" s="513">
        <f t="shared" si="25"/>
        <v>0.127</v>
      </c>
      <c r="D596" s="511"/>
      <c r="E596" s="511">
        <v>173</v>
      </c>
      <c r="F596" s="509">
        <v>482</v>
      </c>
      <c r="G596" s="511"/>
      <c r="H596" s="511">
        <v>130</v>
      </c>
      <c r="I596" s="509">
        <v>366</v>
      </c>
      <c r="J596" s="511"/>
      <c r="K596" s="511">
        <v>90</v>
      </c>
      <c r="L596" s="509">
        <v>259</v>
      </c>
      <c r="M596" s="512"/>
      <c r="Q596" s="26"/>
      <c r="R596" s="26"/>
    </row>
    <row r="597" spans="1:18" ht="12.75">
      <c r="A597" s="544">
        <v>1.5</v>
      </c>
      <c r="B597" s="543">
        <v>0.075</v>
      </c>
      <c r="C597" s="513">
        <f t="shared" si="25"/>
        <v>0.1905</v>
      </c>
      <c r="D597" s="511"/>
      <c r="E597" s="511">
        <v>345</v>
      </c>
      <c r="F597" s="509">
        <v>944</v>
      </c>
      <c r="G597" s="511"/>
      <c r="H597" s="511">
        <v>280</v>
      </c>
      <c r="I597" s="509">
        <v>769</v>
      </c>
      <c r="J597" s="511"/>
      <c r="K597" s="511">
        <v>145</v>
      </c>
      <c r="L597" s="509">
        <v>407</v>
      </c>
      <c r="M597" s="512"/>
      <c r="Q597" s="26"/>
      <c r="R597" s="26"/>
    </row>
    <row r="598" spans="1:18" ht="12.75">
      <c r="A598" s="542">
        <v>2</v>
      </c>
      <c r="B598" s="543">
        <v>0.1</v>
      </c>
      <c r="C598" s="513">
        <f t="shared" si="25"/>
        <v>0.254</v>
      </c>
      <c r="D598" s="511">
        <v>1000</v>
      </c>
      <c r="E598" s="511">
        <v>570</v>
      </c>
      <c r="F598" s="509">
        <v>1549</v>
      </c>
      <c r="G598" s="545">
        <f>F598*100/D598</f>
        <v>154.9</v>
      </c>
      <c r="H598" s="511">
        <v>435</v>
      </c>
      <c r="I598" s="509">
        <v>1186</v>
      </c>
      <c r="J598" s="545">
        <f>I598*100/D598</f>
        <v>118.6</v>
      </c>
      <c r="K598" s="511">
        <v>205</v>
      </c>
      <c r="L598" s="509">
        <v>568</v>
      </c>
      <c r="M598" s="546">
        <f>L598*100/D598</f>
        <v>56.8</v>
      </c>
      <c r="Q598" s="26"/>
      <c r="R598" s="26"/>
    </row>
    <row r="599" spans="1:18" ht="12.75">
      <c r="A599" s="542">
        <f>A598+2</f>
        <v>4</v>
      </c>
      <c r="B599" s="543">
        <v>0.2</v>
      </c>
      <c r="C599" s="513">
        <f t="shared" si="25"/>
        <v>0.508</v>
      </c>
      <c r="D599" s="511">
        <v>1500</v>
      </c>
      <c r="E599" s="511">
        <v>1470</v>
      </c>
      <c r="F599" s="509">
        <v>3968</v>
      </c>
      <c r="G599" s="545">
        <f>F599*100/D599</f>
        <v>264.53333333333336</v>
      </c>
      <c r="H599" s="511">
        <v>927</v>
      </c>
      <c r="I599" s="509">
        <v>2508</v>
      </c>
      <c r="J599" s="545">
        <f>I599*100/D599</f>
        <v>167.2</v>
      </c>
      <c r="K599" s="511">
        <v>425</v>
      </c>
      <c r="L599" s="509">
        <v>1159</v>
      </c>
      <c r="M599" s="546">
        <f>L599*100/D599</f>
        <v>77.26666666666667</v>
      </c>
      <c r="Q599" s="26"/>
      <c r="R599" s="26"/>
    </row>
    <row r="600" spans="1:18" ht="12.75">
      <c r="A600" s="542">
        <f>A599+2</f>
        <v>6</v>
      </c>
      <c r="B600" s="543">
        <v>0.3</v>
      </c>
      <c r="C600" s="513">
        <f t="shared" si="25"/>
        <v>0.762</v>
      </c>
      <c r="D600" s="511"/>
      <c r="E600" s="511">
        <v>2180</v>
      </c>
      <c r="F600" s="509">
        <v>5876</v>
      </c>
      <c r="G600" s="545"/>
      <c r="H600" s="511">
        <v>1282</v>
      </c>
      <c r="I600" s="509">
        <v>3462</v>
      </c>
      <c r="J600" s="545"/>
      <c r="K600" s="511">
        <v>605</v>
      </c>
      <c r="L600" s="509">
        <v>1643</v>
      </c>
      <c r="M600" s="546"/>
      <c r="Q600" s="26"/>
      <c r="R600" s="26"/>
    </row>
    <row r="601" spans="1:18" ht="12.75">
      <c r="A601" s="542">
        <f>A600+2</f>
        <v>8</v>
      </c>
      <c r="B601" s="543">
        <v>0.4</v>
      </c>
      <c r="C601" s="513">
        <f t="shared" si="25"/>
        <v>1.016</v>
      </c>
      <c r="D601" s="511"/>
      <c r="E601" s="511">
        <v>2470</v>
      </c>
      <c r="F601" s="509">
        <v>6655</v>
      </c>
      <c r="G601" s="545"/>
      <c r="H601" s="511">
        <v>1552</v>
      </c>
      <c r="I601" s="509">
        <v>4188</v>
      </c>
      <c r="J601" s="545"/>
      <c r="K601" s="511">
        <v>760</v>
      </c>
      <c r="L601" s="509">
        <v>2060</v>
      </c>
      <c r="M601" s="546"/>
      <c r="Q601" s="26"/>
      <c r="R601" s="26"/>
    </row>
    <row r="602" spans="1:18" ht="13.5" thickBot="1">
      <c r="A602" s="565">
        <f>A601+2</f>
        <v>10</v>
      </c>
      <c r="B602" s="514">
        <v>0.5</v>
      </c>
      <c r="C602" s="566">
        <f t="shared" si="25"/>
        <v>1.27</v>
      </c>
      <c r="D602" s="567"/>
      <c r="E602" s="567"/>
      <c r="F602" s="528"/>
      <c r="G602" s="568"/>
      <c r="H602" s="567">
        <v>1820</v>
      </c>
      <c r="I602" s="528">
        <v>4908</v>
      </c>
      <c r="J602" s="568"/>
      <c r="K602" s="567">
        <v>910</v>
      </c>
      <c r="L602" s="528">
        <v>2463</v>
      </c>
      <c r="M602" s="569"/>
      <c r="Q602" s="26"/>
      <c r="R602" s="26"/>
    </row>
    <row r="603" spans="1:18" ht="13.5" thickTop="1">
      <c r="A603" s="164"/>
      <c r="B603" s="28"/>
      <c r="C603" s="29"/>
      <c r="D603" s="30"/>
      <c r="E603" s="30"/>
      <c r="F603" s="30"/>
      <c r="G603" s="165"/>
      <c r="H603" s="30"/>
      <c r="I603" s="30"/>
      <c r="J603" s="165"/>
      <c r="K603" s="30"/>
      <c r="L603" s="30"/>
      <c r="M603" s="166"/>
      <c r="Q603" s="26"/>
      <c r="R603" s="26"/>
    </row>
    <row r="604" spans="1:18" ht="12.75">
      <c r="A604" s="164"/>
      <c r="B604" s="28"/>
      <c r="C604" s="29"/>
      <c r="D604" s="30"/>
      <c r="E604" s="30"/>
      <c r="F604" s="30"/>
      <c r="G604" s="165"/>
      <c r="H604" s="30"/>
      <c r="I604" s="30"/>
      <c r="J604" s="165"/>
      <c r="K604" s="30"/>
      <c r="L604" s="30"/>
      <c r="M604" s="166"/>
      <c r="Q604" s="26"/>
      <c r="R604" s="26"/>
    </row>
    <row r="605" spans="1:18" ht="13.5" thickBot="1">
      <c r="A605" s="118"/>
      <c r="B605" s="119"/>
      <c r="C605" s="120"/>
      <c r="D605" s="113"/>
      <c r="E605" s="113"/>
      <c r="F605" s="113"/>
      <c r="G605" s="113"/>
      <c r="H605" s="113"/>
      <c r="I605" s="113"/>
      <c r="J605" s="113"/>
      <c r="K605" s="113"/>
      <c r="L605" s="113"/>
      <c r="M605" s="121"/>
      <c r="Q605" s="26"/>
      <c r="R605" s="26"/>
    </row>
    <row r="606" spans="1:18" ht="15.75" thickBot="1">
      <c r="A606" s="666" t="s">
        <v>165</v>
      </c>
      <c r="B606" s="667"/>
      <c r="C606" s="667"/>
      <c r="D606" s="667"/>
      <c r="E606" s="667"/>
      <c r="F606" s="667"/>
      <c r="G606" s="667"/>
      <c r="H606" s="667"/>
      <c r="I606" s="667"/>
      <c r="J606" s="667"/>
      <c r="K606" s="667"/>
      <c r="L606" s="667"/>
      <c r="M606" s="668"/>
      <c r="Q606" s="26"/>
      <c r="R606" s="26"/>
    </row>
    <row r="607" spans="1:18" ht="15">
      <c r="A607" s="122"/>
      <c r="B607" s="83"/>
      <c r="C607" s="83"/>
      <c r="D607" s="83"/>
      <c r="E607" s="679" t="s">
        <v>126</v>
      </c>
      <c r="F607" s="679"/>
      <c r="G607" s="679"/>
      <c r="H607" s="679"/>
      <c r="I607" s="679"/>
      <c r="J607" s="83"/>
      <c r="K607" s="83"/>
      <c r="L607" s="83"/>
      <c r="M607" s="87"/>
      <c r="Q607" s="26"/>
      <c r="R607" s="26"/>
    </row>
    <row r="608" spans="1:13" ht="12.75">
      <c r="A608" s="122"/>
      <c r="B608" s="83"/>
      <c r="C608" s="83"/>
      <c r="D608" s="83"/>
      <c r="E608" s="83"/>
      <c r="F608" s="83"/>
      <c r="G608" s="83"/>
      <c r="H608" s="83"/>
      <c r="I608" s="83"/>
      <c r="J608" s="83"/>
      <c r="K608" s="83"/>
      <c r="L608" s="83"/>
      <c r="M608" s="87"/>
    </row>
    <row r="609" spans="1:13" ht="12.75">
      <c r="A609" s="122"/>
      <c r="B609" s="83"/>
      <c r="C609" s="83"/>
      <c r="D609" s="83"/>
      <c r="E609" s="83"/>
      <c r="F609" s="83"/>
      <c r="G609" s="83"/>
      <c r="H609" s="83"/>
      <c r="I609" s="83"/>
      <c r="J609" s="83"/>
      <c r="K609" s="83"/>
      <c r="L609" s="83"/>
      <c r="M609" s="87"/>
    </row>
    <row r="610" spans="1:13" ht="12.75">
      <c r="A610" s="122"/>
      <c r="B610" s="83"/>
      <c r="C610" s="83"/>
      <c r="D610" s="83"/>
      <c r="E610" s="83"/>
      <c r="F610" s="83"/>
      <c r="G610" s="83"/>
      <c r="H610" s="83"/>
      <c r="I610" s="83"/>
      <c r="J610" s="83"/>
      <c r="K610" s="83"/>
      <c r="L610" s="83"/>
      <c r="M610" s="87"/>
    </row>
    <row r="611" spans="1:13" ht="12.75">
      <c r="A611" s="122"/>
      <c r="B611" s="83"/>
      <c r="C611" s="83"/>
      <c r="D611" s="83"/>
      <c r="E611" s="83"/>
      <c r="F611" s="83"/>
      <c r="G611" s="83"/>
      <c r="H611" s="83"/>
      <c r="I611" s="83"/>
      <c r="J611" s="83"/>
      <c r="K611" s="83"/>
      <c r="L611" s="83"/>
      <c r="M611" s="87"/>
    </row>
    <row r="612" spans="1:13" ht="12.75">
      <c r="A612" s="122"/>
      <c r="B612" s="83"/>
      <c r="C612" s="83"/>
      <c r="D612" s="83"/>
      <c r="E612" s="83"/>
      <c r="F612" s="83"/>
      <c r="G612" s="83"/>
      <c r="H612" s="83"/>
      <c r="I612" s="83"/>
      <c r="J612" s="83"/>
      <c r="K612" s="83"/>
      <c r="L612" s="83"/>
      <c r="M612" s="87"/>
    </row>
    <row r="613" spans="1:13" ht="12.75">
      <c r="A613" s="122"/>
      <c r="B613" s="83"/>
      <c r="C613" s="83"/>
      <c r="D613" s="83"/>
      <c r="E613" s="83"/>
      <c r="F613" s="83"/>
      <c r="G613" s="83"/>
      <c r="H613" s="83"/>
      <c r="I613" s="83"/>
      <c r="J613" s="83"/>
      <c r="K613" s="83"/>
      <c r="L613" s="83"/>
      <c r="M613" s="87"/>
    </row>
    <row r="614" spans="1:13" ht="12.75">
      <c r="A614" s="122"/>
      <c r="B614" s="83"/>
      <c r="C614" s="83"/>
      <c r="D614" s="83"/>
      <c r="E614" s="83"/>
      <c r="F614" s="83"/>
      <c r="G614" s="83"/>
      <c r="H614" s="83"/>
      <c r="I614" s="83"/>
      <c r="J614" s="83"/>
      <c r="K614" s="83"/>
      <c r="L614" s="83"/>
      <c r="M614" s="87"/>
    </row>
    <row r="615" spans="1:13" ht="12.75">
      <c r="A615" s="122"/>
      <c r="B615" s="83"/>
      <c r="C615" s="83"/>
      <c r="D615" s="83"/>
      <c r="E615" s="83"/>
      <c r="F615" s="83"/>
      <c r="G615" s="83"/>
      <c r="H615" s="83"/>
      <c r="I615" s="83"/>
      <c r="J615" s="83"/>
      <c r="K615" s="83"/>
      <c r="L615" s="83"/>
      <c r="M615" s="87"/>
    </row>
    <row r="616" spans="1:13" ht="12.75">
      <c r="A616" s="122"/>
      <c r="B616" s="83"/>
      <c r="C616" s="83"/>
      <c r="D616" s="83"/>
      <c r="E616" s="83"/>
      <c r="F616" s="83"/>
      <c r="G616" s="83"/>
      <c r="H616" s="83"/>
      <c r="I616" s="83"/>
      <c r="J616" s="83"/>
      <c r="K616" s="83"/>
      <c r="L616" s="83"/>
      <c r="M616" s="87"/>
    </row>
    <row r="617" spans="1:13" ht="12.75">
      <c r="A617" s="122"/>
      <c r="B617" s="83"/>
      <c r="C617" s="83"/>
      <c r="D617" s="83"/>
      <c r="E617" s="83"/>
      <c r="F617" s="83"/>
      <c r="G617" s="83"/>
      <c r="H617" s="83"/>
      <c r="I617" s="83"/>
      <c r="J617" s="83"/>
      <c r="K617" s="83"/>
      <c r="L617" s="83"/>
      <c r="M617" s="87"/>
    </row>
    <row r="618" spans="1:13" ht="12.75">
      <c r="A618" s="122"/>
      <c r="B618" s="83"/>
      <c r="C618" s="83"/>
      <c r="D618" s="83"/>
      <c r="E618" s="83"/>
      <c r="F618" s="83"/>
      <c r="G618" s="83"/>
      <c r="H618" s="83"/>
      <c r="I618" s="83"/>
      <c r="J618" s="83"/>
      <c r="K618" s="83"/>
      <c r="L618" s="83"/>
      <c r="M618" s="87"/>
    </row>
    <row r="619" spans="1:13" ht="12.75">
      <c r="A619" s="122"/>
      <c r="B619" s="83"/>
      <c r="C619" s="83"/>
      <c r="D619" s="83"/>
      <c r="E619" s="83"/>
      <c r="F619" s="83"/>
      <c r="G619" s="83"/>
      <c r="H619" s="83"/>
      <c r="I619" s="83"/>
      <c r="J619" s="83"/>
      <c r="K619" s="83"/>
      <c r="L619" s="83"/>
      <c r="M619" s="87"/>
    </row>
    <row r="620" spans="1:13" ht="12.75">
      <c r="A620" s="122"/>
      <c r="B620" s="83"/>
      <c r="C620" s="83"/>
      <c r="D620" s="83"/>
      <c r="E620" s="83"/>
      <c r="F620" s="83"/>
      <c r="G620" s="83"/>
      <c r="H620" s="83"/>
      <c r="I620" s="83"/>
      <c r="J620" s="83"/>
      <c r="K620" s="83"/>
      <c r="L620" s="83"/>
      <c r="M620" s="87"/>
    </row>
    <row r="621" spans="1:13" ht="12.75">
      <c r="A621" s="122"/>
      <c r="B621" s="83"/>
      <c r="C621" s="83"/>
      <c r="D621" s="83"/>
      <c r="E621" s="83"/>
      <c r="F621" s="83"/>
      <c r="G621" s="83"/>
      <c r="H621" s="83"/>
      <c r="I621" s="83"/>
      <c r="J621" s="83"/>
      <c r="K621" s="83"/>
      <c r="L621" s="83"/>
      <c r="M621" s="87"/>
    </row>
    <row r="622" spans="1:13" ht="12.75">
      <c r="A622" s="122"/>
      <c r="B622" s="83"/>
      <c r="C622" s="83"/>
      <c r="D622" s="83"/>
      <c r="E622" s="83"/>
      <c r="F622" s="83"/>
      <c r="G622" s="83"/>
      <c r="H622" s="83"/>
      <c r="I622" s="83"/>
      <c r="J622" s="83"/>
      <c r="K622" s="83"/>
      <c r="L622" s="83"/>
      <c r="M622" s="87"/>
    </row>
    <row r="623" spans="1:13" ht="12.75">
      <c r="A623" s="122"/>
      <c r="B623" s="83"/>
      <c r="C623" s="83"/>
      <c r="D623" s="83"/>
      <c r="E623" s="83"/>
      <c r="F623" s="83"/>
      <c r="G623" s="83"/>
      <c r="H623" s="83"/>
      <c r="I623" s="83"/>
      <c r="J623" s="83"/>
      <c r="K623" s="83"/>
      <c r="L623" s="83"/>
      <c r="M623" s="87"/>
    </row>
    <row r="624" spans="1:13" ht="12.75">
      <c r="A624" s="122"/>
      <c r="B624" s="83"/>
      <c r="C624" s="83"/>
      <c r="D624" s="83"/>
      <c r="E624" s="83"/>
      <c r="F624" s="83"/>
      <c r="G624" s="83"/>
      <c r="H624" s="83"/>
      <c r="I624" s="83"/>
      <c r="J624" s="83"/>
      <c r="K624" s="83"/>
      <c r="L624" s="83"/>
      <c r="M624" s="87"/>
    </row>
    <row r="625" spans="1:13" ht="12.75">
      <c r="A625" s="122"/>
      <c r="B625" s="83"/>
      <c r="C625" s="83"/>
      <c r="D625" s="83"/>
      <c r="E625" s="83"/>
      <c r="F625" s="83"/>
      <c r="G625" s="83"/>
      <c r="H625" s="83"/>
      <c r="I625" s="83"/>
      <c r="J625" s="83"/>
      <c r="K625" s="83"/>
      <c r="L625" s="83"/>
      <c r="M625" s="87"/>
    </row>
    <row r="626" spans="1:13" ht="12.75">
      <c r="A626" s="122"/>
      <c r="B626" s="83"/>
      <c r="C626" s="83"/>
      <c r="D626" s="83"/>
      <c r="E626" s="83"/>
      <c r="F626" s="83"/>
      <c r="G626" s="83"/>
      <c r="H626" s="83"/>
      <c r="I626" s="83"/>
      <c r="J626" s="83"/>
      <c r="K626" s="83"/>
      <c r="L626" s="83"/>
      <c r="M626" s="87"/>
    </row>
    <row r="627" spans="1:13" ht="12.75">
      <c r="A627" s="122"/>
      <c r="B627" s="83"/>
      <c r="C627" s="83"/>
      <c r="D627" s="83"/>
      <c r="E627" s="83"/>
      <c r="F627" s="83"/>
      <c r="G627" s="83"/>
      <c r="H627" s="83"/>
      <c r="I627" s="83"/>
      <c r="J627" s="83"/>
      <c r="K627" s="83"/>
      <c r="L627" s="83"/>
      <c r="M627" s="87"/>
    </row>
    <row r="628" spans="1:13" ht="12.75">
      <c r="A628" s="122"/>
      <c r="B628" s="83"/>
      <c r="C628" s="83"/>
      <c r="D628" s="83"/>
      <c r="E628" s="83"/>
      <c r="F628" s="83"/>
      <c r="G628" s="83"/>
      <c r="H628" s="83"/>
      <c r="I628" s="83"/>
      <c r="J628" s="83"/>
      <c r="K628" s="83"/>
      <c r="L628" s="83"/>
      <c r="M628" s="87"/>
    </row>
    <row r="629" spans="1:18" ht="12.75">
      <c r="A629" s="122"/>
      <c r="B629" s="83"/>
      <c r="C629" s="83"/>
      <c r="D629" s="83"/>
      <c r="E629" s="83"/>
      <c r="F629" s="83"/>
      <c r="G629" s="83"/>
      <c r="H629" s="83"/>
      <c r="I629" s="83"/>
      <c r="J629" s="83"/>
      <c r="K629" s="83"/>
      <c r="L629" s="83"/>
      <c r="M629" s="87"/>
      <c r="O629" s="32">
        <v>0</v>
      </c>
      <c r="P629" s="33">
        <v>0</v>
      </c>
      <c r="Q629" s="33">
        <f>P629</f>
        <v>0</v>
      </c>
      <c r="R629" s="34">
        <f>Q629</f>
        <v>0</v>
      </c>
    </row>
    <row r="630" spans="1:18" ht="12.75">
      <c r="A630" s="122"/>
      <c r="B630" s="83"/>
      <c r="C630" s="83"/>
      <c r="D630" s="83"/>
      <c r="E630" s="83"/>
      <c r="F630" s="83"/>
      <c r="G630" s="83"/>
      <c r="H630" s="83"/>
      <c r="I630" s="83"/>
      <c r="J630" s="83"/>
      <c r="K630" s="83"/>
      <c r="L630" s="83"/>
      <c r="M630" s="87"/>
      <c r="O630" s="35">
        <f aca="true" t="shared" si="26" ref="O630:O637">B595</f>
        <v>0.025</v>
      </c>
      <c r="P630" s="9">
        <f aca="true" t="shared" si="27" ref="P630:P637">F595</f>
        <v>151</v>
      </c>
      <c r="Q630" s="9">
        <f aca="true" t="shared" si="28" ref="Q630:Q637">I595</f>
        <v>84</v>
      </c>
      <c r="R630" s="36">
        <f aca="true" t="shared" si="29" ref="R630:R637">L595</f>
        <v>71</v>
      </c>
    </row>
    <row r="631" spans="1:18" ht="12.75">
      <c r="A631" s="122"/>
      <c r="B631" s="83"/>
      <c r="C631" s="83"/>
      <c r="D631" s="83"/>
      <c r="E631" s="83"/>
      <c r="F631" s="83"/>
      <c r="G631" s="83"/>
      <c r="H631" s="83"/>
      <c r="I631" s="83"/>
      <c r="J631" s="83"/>
      <c r="K631" s="83"/>
      <c r="L631" s="83"/>
      <c r="M631" s="87"/>
      <c r="O631" s="35">
        <f t="shared" si="26"/>
        <v>0.05</v>
      </c>
      <c r="P631" s="9">
        <f t="shared" si="27"/>
        <v>482</v>
      </c>
      <c r="Q631" s="9">
        <f t="shared" si="28"/>
        <v>366</v>
      </c>
      <c r="R631" s="36">
        <f t="shared" si="29"/>
        <v>259</v>
      </c>
    </row>
    <row r="632" spans="1:18" ht="12.75">
      <c r="A632" s="122"/>
      <c r="B632" s="83"/>
      <c r="C632" s="83"/>
      <c r="D632" s="83"/>
      <c r="E632" s="83"/>
      <c r="F632" s="83"/>
      <c r="G632" s="83"/>
      <c r="H632" s="83"/>
      <c r="I632" s="83"/>
      <c r="J632" s="83"/>
      <c r="K632" s="83"/>
      <c r="L632" s="83"/>
      <c r="M632" s="87"/>
      <c r="O632" s="35">
        <f t="shared" si="26"/>
        <v>0.075</v>
      </c>
      <c r="P632" s="9">
        <f t="shared" si="27"/>
        <v>944</v>
      </c>
      <c r="Q632" s="9">
        <f t="shared" si="28"/>
        <v>769</v>
      </c>
      <c r="R632" s="36">
        <f t="shared" si="29"/>
        <v>407</v>
      </c>
    </row>
    <row r="633" spans="1:18" ht="12.75">
      <c r="A633" s="122"/>
      <c r="B633" s="83"/>
      <c r="C633" s="83"/>
      <c r="D633" s="83"/>
      <c r="E633" s="83"/>
      <c r="F633" s="83"/>
      <c r="G633" s="83"/>
      <c r="H633" s="83"/>
      <c r="I633" s="83"/>
      <c r="J633" s="83"/>
      <c r="K633" s="83"/>
      <c r="L633" s="83"/>
      <c r="M633" s="87"/>
      <c r="O633" s="35">
        <f t="shared" si="26"/>
        <v>0.1</v>
      </c>
      <c r="P633" s="9">
        <f t="shared" si="27"/>
        <v>1549</v>
      </c>
      <c r="Q633" s="9">
        <f t="shared" si="28"/>
        <v>1186</v>
      </c>
      <c r="R633" s="36">
        <f t="shared" si="29"/>
        <v>568</v>
      </c>
    </row>
    <row r="634" spans="1:18" ht="12.75">
      <c r="A634" s="122"/>
      <c r="B634" s="83"/>
      <c r="C634" s="83"/>
      <c r="D634" s="83"/>
      <c r="E634" s="83"/>
      <c r="F634" s="83"/>
      <c r="G634" s="83"/>
      <c r="H634" s="83"/>
      <c r="I634" s="83"/>
      <c r="J634" s="83"/>
      <c r="K634" s="83"/>
      <c r="L634" s="83"/>
      <c r="M634" s="87"/>
      <c r="O634" s="35">
        <f t="shared" si="26"/>
        <v>0.2</v>
      </c>
      <c r="P634" s="9">
        <f t="shared" si="27"/>
        <v>3968</v>
      </c>
      <c r="Q634" s="9">
        <f t="shared" si="28"/>
        <v>2508</v>
      </c>
      <c r="R634" s="36">
        <f t="shared" si="29"/>
        <v>1159</v>
      </c>
    </row>
    <row r="635" spans="1:18" ht="12.75">
      <c r="A635" s="122"/>
      <c r="B635" s="83"/>
      <c r="C635" s="83"/>
      <c r="D635" s="83"/>
      <c r="E635" s="83"/>
      <c r="F635" s="83"/>
      <c r="G635" s="83"/>
      <c r="H635" s="83"/>
      <c r="I635" s="83"/>
      <c r="J635" s="83"/>
      <c r="K635" s="83"/>
      <c r="L635" s="83"/>
      <c r="M635" s="87"/>
      <c r="O635" s="35">
        <f t="shared" si="26"/>
        <v>0.3</v>
      </c>
      <c r="P635" s="9">
        <f t="shared" si="27"/>
        <v>5876</v>
      </c>
      <c r="Q635" s="9">
        <f t="shared" si="28"/>
        <v>3462</v>
      </c>
      <c r="R635" s="36">
        <f t="shared" si="29"/>
        <v>1643</v>
      </c>
    </row>
    <row r="636" spans="1:18" ht="12.75">
      <c r="A636" s="122"/>
      <c r="B636" s="83"/>
      <c r="C636" s="83"/>
      <c r="D636" s="83"/>
      <c r="E636" s="83"/>
      <c r="F636" s="83"/>
      <c r="G636" s="83"/>
      <c r="H636" s="83"/>
      <c r="I636" s="83"/>
      <c r="J636" s="83"/>
      <c r="K636" s="83"/>
      <c r="L636" s="83"/>
      <c r="M636" s="87"/>
      <c r="O636" s="35">
        <f t="shared" si="26"/>
        <v>0.4</v>
      </c>
      <c r="P636" s="9">
        <f t="shared" si="27"/>
        <v>6655</v>
      </c>
      <c r="Q636" s="9">
        <f t="shared" si="28"/>
        <v>4188</v>
      </c>
      <c r="R636" s="36">
        <f t="shared" si="29"/>
        <v>2060</v>
      </c>
    </row>
    <row r="637" spans="1:18" ht="12.75">
      <c r="A637" s="122"/>
      <c r="B637" s="83"/>
      <c r="C637" s="83"/>
      <c r="D637" s="83"/>
      <c r="E637" s="83"/>
      <c r="F637" s="83"/>
      <c r="G637" s="83"/>
      <c r="H637" s="83"/>
      <c r="I637" s="83"/>
      <c r="J637" s="83"/>
      <c r="K637" s="83"/>
      <c r="L637" s="83"/>
      <c r="M637" s="87"/>
      <c r="O637" s="37">
        <f t="shared" si="26"/>
        <v>0.5</v>
      </c>
      <c r="P637" s="38">
        <f t="shared" si="27"/>
        <v>0</v>
      </c>
      <c r="Q637" s="38">
        <f t="shared" si="28"/>
        <v>4908</v>
      </c>
      <c r="R637" s="39">
        <f t="shared" si="29"/>
        <v>2463</v>
      </c>
    </row>
    <row r="638" spans="1:13" ht="12.75">
      <c r="A638" s="122"/>
      <c r="B638" s="83"/>
      <c r="C638" s="83"/>
      <c r="D638" s="83"/>
      <c r="E638" s="83"/>
      <c r="F638" s="83"/>
      <c r="G638" s="83"/>
      <c r="H638" s="83"/>
      <c r="I638" s="83"/>
      <c r="J638" s="83"/>
      <c r="K638" s="83"/>
      <c r="L638" s="83"/>
      <c r="M638" s="87"/>
    </row>
    <row r="639" spans="1:13" ht="12.75">
      <c r="A639" s="122"/>
      <c r="B639" s="83"/>
      <c r="C639" s="83"/>
      <c r="D639" s="83"/>
      <c r="E639" s="83"/>
      <c r="F639" s="83"/>
      <c r="G639" s="83"/>
      <c r="H639" s="83"/>
      <c r="I639" s="83"/>
      <c r="J639" s="83"/>
      <c r="K639" s="83"/>
      <c r="L639" s="83"/>
      <c r="M639" s="87"/>
    </row>
    <row r="640" spans="1:13" ht="12.75">
      <c r="A640" s="122"/>
      <c r="B640" s="83"/>
      <c r="C640" s="83"/>
      <c r="D640" s="83"/>
      <c r="E640" s="83"/>
      <c r="F640" s="83"/>
      <c r="G640" s="83"/>
      <c r="H640" s="83"/>
      <c r="I640" s="83"/>
      <c r="J640" s="83"/>
      <c r="K640" s="83"/>
      <c r="L640" s="83"/>
      <c r="M640" s="87"/>
    </row>
    <row r="641" spans="1:13" ht="12.75">
      <c r="A641" s="122"/>
      <c r="B641" s="83"/>
      <c r="C641" s="83"/>
      <c r="D641" s="83"/>
      <c r="E641" s="83"/>
      <c r="F641" s="83"/>
      <c r="G641" s="83"/>
      <c r="H641" s="83"/>
      <c r="I641" s="83"/>
      <c r="J641" s="83"/>
      <c r="K641" s="83"/>
      <c r="L641" s="83"/>
      <c r="M641" s="87"/>
    </row>
    <row r="642" spans="1:17" ht="12.75">
      <c r="A642" s="122"/>
      <c r="B642" s="83"/>
      <c r="C642" s="83"/>
      <c r="D642" s="83"/>
      <c r="E642" s="83"/>
      <c r="F642" s="83"/>
      <c r="G642" s="83"/>
      <c r="H642" s="83"/>
      <c r="I642" s="83"/>
      <c r="J642" s="83"/>
      <c r="K642" s="83"/>
      <c r="L642" s="83"/>
      <c r="M642" s="87"/>
      <c r="O642" s="40"/>
      <c r="P642" s="33"/>
      <c r="Q642" s="34"/>
    </row>
    <row r="643" spans="1:17" ht="12.75">
      <c r="A643" s="122"/>
      <c r="B643" s="83"/>
      <c r="C643" s="83"/>
      <c r="D643" s="68"/>
      <c r="E643" s="68"/>
      <c r="F643" s="68"/>
      <c r="G643" s="68"/>
      <c r="H643" s="68"/>
      <c r="I643" s="68"/>
      <c r="J643" s="68"/>
      <c r="K643" s="68"/>
      <c r="L643" s="68"/>
      <c r="M643" s="87"/>
      <c r="O643" s="41" t="s">
        <v>134</v>
      </c>
      <c r="P643" s="9" t="s">
        <v>136</v>
      </c>
      <c r="Q643" s="36" t="s">
        <v>135</v>
      </c>
    </row>
    <row r="644" spans="1:17" ht="12.75">
      <c r="A644" s="122"/>
      <c r="B644" s="83"/>
      <c r="C644" s="83"/>
      <c r="D644" s="68"/>
      <c r="E644" s="68"/>
      <c r="F644" s="68"/>
      <c r="G644" s="68"/>
      <c r="H644" s="68"/>
      <c r="I644" s="68"/>
      <c r="J644" s="68"/>
      <c r="K644" s="68"/>
      <c r="L644" s="68"/>
      <c r="M644" s="87"/>
      <c r="O644" s="41"/>
      <c r="P644" s="42">
        <f>P645-2</f>
        <v>54.8</v>
      </c>
      <c r="Q644" s="43">
        <v>1.2</v>
      </c>
    </row>
    <row r="645" spans="1:17" ht="12.75">
      <c r="A645" s="122"/>
      <c r="B645" s="83"/>
      <c r="C645" s="83"/>
      <c r="D645" s="68"/>
      <c r="E645" s="68"/>
      <c r="F645" s="68"/>
      <c r="G645" s="68"/>
      <c r="H645" s="68"/>
      <c r="I645" s="68"/>
      <c r="J645" s="68"/>
      <c r="K645" s="68"/>
      <c r="L645" s="68"/>
      <c r="M645" s="87"/>
      <c r="O645" s="41" t="s">
        <v>131</v>
      </c>
      <c r="P645" s="44">
        <f>MIN(M598:M599)</f>
        <v>56.8</v>
      </c>
      <c r="Q645" s="45">
        <f>K581</f>
        <v>1.987298156379079</v>
      </c>
    </row>
    <row r="646" spans="1:17" ht="12.75">
      <c r="A646" s="122"/>
      <c r="B646" s="83"/>
      <c r="C646" s="83"/>
      <c r="D646" s="68"/>
      <c r="E646" s="68"/>
      <c r="F646" s="68"/>
      <c r="G646" s="68"/>
      <c r="H646" s="68"/>
      <c r="I646" s="68"/>
      <c r="J646" s="68"/>
      <c r="K646" s="557" t="s">
        <v>139</v>
      </c>
      <c r="L646" s="83"/>
      <c r="M646" s="87"/>
      <c r="O646" s="41" t="s">
        <v>132</v>
      </c>
      <c r="P646" s="44">
        <f>MIN(J598:J599)</f>
        <v>118.6</v>
      </c>
      <c r="Q646" s="45">
        <f>H581</f>
        <v>2.0091296880279312</v>
      </c>
    </row>
    <row r="647" spans="1:17" ht="12.75">
      <c r="A647" s="122"/>
      <c r="B647" s="83"/>
      <c r="C647" s="83"/>
      <c r="D647" s="83"/>
      <c r="E647" s="83"/>
      <c r="F647" s="83"/>
      <c r="G647" s="83"/>
      <c r="H647" s="83"/>
      <c r="I647" s="83"/>
      <c r="J647" s="83"/>
      <c r="K647" s="83"/>
      <c r="L647" s="83"/>
      <c r="M647" s="87"/>
      <c r="O647" s="41" t="s">
        <v>133</v>
      </c>
      <c r="P647" s="44">
        <f>MIN(G598:G599)</f>
        <v>154.9</v>
      </c>
      <c r="Q647" s="45">
        <f>E581</f>
        <v>2.182847085142782</v>
      </c>
    </row>
    <row r="648" spans="1:17" ht="12.75">
      <c r="A648" s="122"/>
      <c r="B648" s="83"/>
      <c r="C648" s="83"/>
      <c r="D648" s="83"/>
      <c r="E648" s="83"/>
      <c r="F648" s="83"/>
      <c r="G648" s="83"/>
      <c r="H648" s="83"/>
      <c r="I648" s="83"/>
      <c r="J648" s="83"/>
      <c r="K648" s="558" t="s">
        <v>141</v>
      </c>
      <c r="L648" s="560">
        <f>(MIN(G598:G602))/100</f>
        <v>1.5490000000000002</v>
      </c>
      <c r="M648" s="561" t="s">
        <v>23</v>
      </c>
      <c r="O648" s="46"/>
      <c r="P648" s="47">
        <f>P647+2</f>
        <v>156.9</v>
      </c>
      <c r="Q648" s="48">
        <v>2.2</v>
      </c>
    </row>
    <row r="649" spans="1:13" ht="12.75">
      <c r="A649" s="122"/>
      <c r="B649" s="83"/>
      <c r="C649" s="83"/>
      <c r="D649" s="83"/>
      <c r="E649" s="83"/>
      <c r="F649" s="83"/>
      <c r="G649" s="83"/>
      <c r="H649" s="83"/>
      <c r="I649" s="83"/>
      <c r="J649" s="83"/>
      <c r="K649" s="9"/>
      <c r="L649" s="9"/>
      <c r="M649" s="76"/>
    </row>
    <row r="650" spans="1:13" ht="12.75">
      <c r="A650" s="122"/>
      <c r="B650" s="83"/>
      <c r="C650" s="83"/>
      <c r="D650" s="83"/>
      <c r="E650" s="83"/>
      <c r="F650" s="83"/>
      <c r="G650" s="83"/>
      <c r="H650" s="83"/>
      <c r="I650" s="83"/>
      <c r="J650" s="83"/>
      <c r="K650" s="9"/>
      <c r="L650" s="9"/>
      <c r="M650" s="76"/>
    </row>
    <row r="651" spans="1:16" ht="12.75">
      <c r="A651" s="122"/>
      <c r="B651" s="83"/>
      <c r="C651" s="83"/>
      <c r="D651" s="83"/>
      <c r="E651" s="83"/>
      <c r="F651" s="83"/>
      <c r="G651" s="83"/>
      <c r="H651" s="83"/>
      <c r="I651" s="83"/>
      <c r="J651" s="83"/>
      <c r="K651" s="83"/>
      <c r="L651" s="83"/>
      <c r="M651" s="87"/>
      <c r="O651" s="40" t="s">
        <v>137</v>
      </c>
      <c r="P651" s="34"/>
    </row>
    <row r="652" spans="1:16" ht="12.75">
      <c r="A652" s="122"/>
      <c r="B652" s="83"/>
      <c r="C652" s="83"/>
      <c r="D652" s="83"/>
      <c r="E652" s="83"/>
      <c r="F652" s="83"/>
      <c r="G652" s="83"/>
      <c r="H652" s="83"/>
      <c r="I652" s="83"/>
      <c r="J652" s="83"/>
      <c r="K652" s="557" t="s">
        <v>140</v>
      </c>
      <c r="L652" s="83"/>
      <c r="M652" s="87"/>
      <c r="O652" s="41"/>
      <c r="P652" s="36"/>
    </row>
    <row r="653" spans="1:16" ht="12.75">
      <c r="A653" s="122"/>
      <c r="B653" s="83"/>
      <c r="C653" s="83"/>
      <c r="D653" s="83"/>
      <c r="E653" s="83"/>
      <c r="F653" s="83"/>
      <c r="G653" s="83"/>
      <c r="H653" s="83"/>
      <c r="I653" s="83"/>
      <c r="J653" s="83"/>
      <c r="K653" s="83"/>
      <c r="L653" s="83"/>
      <c r="M653" s="87"/>
      <c r="O653" s="49">
        <f>P644-1</f>
        <v>53.8</v>
      </c>
      <c r="P653" s="45">
        <f>J560/1000</f>
        <v>0.00216</v>
      </c>
    </row>
    <row r="654" spans="1:16" ht="12.75">
      <c r="A654" s="122"/>
      <c r="B654" s="83"/>
      <c r="C654" s="83"/>
      <c r="D654" s="83"/>
      <c r="E654" s="83"/>
      <c r="F654" s="83"/>
      <c r="G654" s="83"/>
      <c r="H654" s="83"/>
      <c r="I654" s="83"/>
      <c r="J654" s="83"/>
      <c r="K654" s="558" t="s">
        <v>141</v>
      </c>
      <c r="L654" s="560">
        <f>L648*0.95</f>
        <v>1.4715500000000001</v>
      </c>
      <c r="M654" s="561" t="s">
        <v>23</v>
      </c>
      <c r="O654" s="49">
        <f>P648+1</f>
        <v>157.9</v>
      </c>
      <c r="P654" s="45">
        <f>P653</f>
        <v>0.00216</v>
      </c>
    </row>
    <row r="655" spans="1:17" ht="12.75">
      <c r="A655" s="122"/>
      <c r="B655" s="83"/>
      <c r="C655" s="83"/>
      <c r="D655" s="83"/>
      <c r="E655" s="83"/>
      <c r="F655" s="83"/>
      <c r="G655" s="83"/>
      <c r="H655" s="83"/>
      <c r="I655" s="83"/>
      <c r="J655" s="83"/>
      <c r="K655" s="9"/>
      <c r="L655" s="9"/>
      <c r="M655" s="76"/>
      <c r="O655" s="41"/>
      <c r="P655" s="36"/>
      <c r="Q655" s="169">
        <v>6</v>
      </c>
    </row>
    <row r="656" spans="1:16" ht="12.75">
      <c r="A656" s="122"/>
      <c r="B656" s="83"/>
      <c r="C656" s="83"/>
      <c r="D656" s="83"/>
      <c r="E656" s="83"/>
      <c r="F656" s="83"/>
      <c r="G656" s="83"/>
      <c r="H656" s="83"/>
      <c r="I656" s="83"/>
      <c r="J656" s="83"/>
      <c r="K656" s="83"/>
      <c r="L656" s="83"/>
      <c r="M656" s="87"/>
      <c r="O656" s="41" t="s">
        <v>138</v>
      </c>
      <c r="P656" s="36"/>
    </row>
    <row r="657" spans="1:16" ht="12.75">
      <c r="A657" s="122"/>
      <c r="B657" s="83"/>
      <c r="C657" s="83"/>
      <c r="D657" s="83"/>
      <c r="E657" s="83"/>
      <c r="F657" s="83"/>
      <c r="G657" s="83"/>
      <c r="H657" s="83"/>
      <c r="I657" s="83"/>
      <c r="J657" s="83"/>
      <c r="K657" s="559" t="s">
        <v>168</v>
      </c>
      <c r="L657" s="576">
        <f>J589</f>
        <v>0</v>
      </c>
      <c r="M657" s="87"/>
      <c r="O657" s="41"/>
      <c r="P657" s="36"/>
    </row>
    <row r="658" spans="1:16" ht="12.75">
      <c r="A658" s="122"/>
      <c r="B658" s="83"/>
      <c r="C658" s="83"/>
      <c r="D658" s="83"/>
      <c r="E658" s="83"/>
      <c r="F658" s="83"/>
      <c r="G658" s="83"/>
      <c r="H658" s="83"/>
      <c r="I658" s="83"/>
      <c r="J658" s="83"/>
      <c r="K658" s="83"/>
      <c r="L658" s="83"/>
      <c r="M658" s="87"/>
      <c r="O658" s="49">
        <f>O653</f>
        <v>53.8</v>
      </c>
      <c r="P658" s="45">
        <f>0.95*P653</f>
        <v>0.002052</v>
      </c>
    </row>
    <row r="659" spans="1:16" ht="12.75">
      <c r="A659" s="122"/>
      <c r="B659" s="83"/>
      <c r="C659" s="83"/>
      <c r="D659" s="83"/>
      <c r="E659" s="83"/>
      <c r="F659" s="587"/>
      <c r="G659" s="83"/>
      <c r="H659" s="83"/>
      <c r="I659" s="83"/>
      <c r="J659" s="83"/>
      <c r="K659" s="83"/>
      <c r="L659" s="83"/>
      <c r="M659" s="87"/>
      <c r="O659" s="50">
        <f>O654</f>
        <v>157.9</v>
      </c>
      <c r="P659" s="51">
        <f>0.95*P654</f>
        <v>0.002052</v>
      </c>
    </row>
    <row r="660" spans="1:13" ht="13.5" thickBot="1">
      <c r="A660" s="24"/>
      <c r="B660" s="7"/>
      <c r="C660" s="7"/>
      <c r="D660" s="7"/>
      <c r="E660" s="586" t="s">
        <v>205</v>
      </c>
      <c r="F660" s="588">
        <v>1.5</v>
      </c>
      <c r="G660" s="7"/>
      <c r="H660" s="7"/>
      <c r="I660" s="7"/>
      <c r="J660" s="123"/>
      <c r="K660" s="123"/>
      <c r="L660" s="123"/>
      <c r="M660" s="124"/>
    </row>
  </sheetData>
  <sheetProtection/>
  <mergeCells count="384">
    <mergeCell ref="A3:C3"/>
    <mergeCell ref="A4:C4"/>
    <mergeCell ref="A5:C5"/>
    <mergeCell ref="A114:C114"/>
    <mergeCell ref="A554:C554"/>
    <mergeCell ref="A555:C555"/>
    <mergeCell ref="A443:C443"/>
    <mergeCell ref="A444:C444"/>
    <mergeCell ref="A445:C445"/>
    <mergeCell ref="A553:C553"/>
    <mergeCell ref="G9:H9"/>
    <mergeCell ref="D8:J8"/>
    <mergeCell ref="D12:J12"/>
    <mergeCell ref="G10:H10"/>
    <mergeCell ref="E388:I388"/>
    <mergeCell ref="A441:M441"/>
    <mergeCell ref="E15:G15"/>
    <mergeCell ref="K15:M15"/>
    <mergeCell ref="G340:H340"/>
    <mergeCell ref="D342:J342"/>
    <mergeCell ref="K20:L20"/>
    <mergeCell ref="E16:F16"/>
    <mergeCell ref="H16:I16"/>
    <mergeCell ref="E18:F18"/>
    <mergeCell ref="K13:M13"/>
    <mergeCell ref="K14:M14"/>
    <mergeCell ref="H13:J13"/>
    <mergeCell ref="H14:J14"/>
    <mergeCell ref="H15:J15"/>
    <mergeCell ref="E13:G13"/>
    <mergeCell ref="E497:I497"/>
    <mergeCell ref="D338:J338"/>
    <mergeCell ref="G339:H339"/>
    <mergeCell ref="E345:G345"/>
    <mergeCell ref="H345:J345"/>
    <mergeCell ref="K345:M345"/>
    <mergeCell ref="K343:M343"/>
    <mergeCell ref="D367:D369"/>
    <mergeCell ref="H343:J343"/>
    <mergeCell ref="K346:L346"/>
    <mergeCell ref="E14:G14"/>
    <mergeCell ref="K21:L21"/>
    <mergeCell ref="K30:L30"/>
    <mergeCell ref="K16:L16"/>
    <mergeCell ref="K17:L17"/>
    <mergeCell ref="K19:L19"/>
    <mergeCell ref="K18:L18"/>
    <mergeCell ref="E19:F19"/>
    <mergeCell ref="E17:F17"/>
    <mergeCell ref="H17:I17"/>
    <mergeCell ref="H18:I18"/>
    <mergeCell ref="H19:I19"/>
    <mergeCell ref="E20:F20"/>
    <mergeCell ref="H20:I20"/>
    <mergeCell ref="E21:F21"/>
    <mergeCell ref="H21:I21"/>
    <mergeCell ref="E30:F30"/>
    <mergeCell ref="H30:I30"/>
    <mergeCell ref="E31:F31"/>
    <mergeCell ref="H31:I31"/>
    <mergeCell ref="K31:L31"/>
    <mergeCell ref="C35:C37"/>
    <mergeCell ref="F36:G36"/>
    <mergeCell ref="I36:J36"/>
    <mergeCell ref="A34:M34"/>
    <mergeCell ref="A35:B37"/>
    <mergeCell ref="K35:M35"/>
    <mergeCell ref="L36:M36"/>
    <mergeCell ref="E35:G35"/>
    <mergeCell ref="H35:J35"/>
    <mergeCell ref="E237:F237"/>
    <mergeCell ref="A150:B150"/>
    <mergeCell ref="A149:B149"/>
    <mergeCell ref="A43:M43"/>
    <mergeCell ref="A44:C44"/>
    <mergeCell ref="E44:G44"/>
    <mergeCell ref="A38:B38"/>
    <mergeCell ref="K237:L237"/>
    <mergeCell ref="A57:M57"/>
    <mergeCell ref="H44:J44"/>
    <mergeCell ref="K44:M44"/>
    <mergeCell ref="E45:F45"/>
    <mergeCell ref="A115:C115"/>
    <mergeCell ref="A116:C116"/>
    <mergeCell ref="A223:C223"/>
    <mergeCell ref="A224:C224"/>
    <mergeCell ref="H237:I237"/>
    <mergeCell ref="C145:C147"/>
    <mergeCell ref="A39:B39"/>
    <mergeCell ref="A40:B40"/>
    <mergeCell ref="D38:D40"/>
    <mergeCell ref="A148:B148"/>
    <mergeCell ref="D118:J118"/>
    <mergeCell ref="G119:H119"/>
    <mergeCell ref="D148:D150"/>
    <mergeCell ref="E145:G145"/>
    <mergeCell ref="D122:J122"/>
    <mergeCell ref="H127:I127"/>
    <mergeCell ref="H130:I130"/>
    <mergeCell ref="E127:F127"/>
    <mergeCell ref="E141:F141"/>
    <mergeCell ref="K45:L45"/>
    <mergeCell ref="H45:I45"/>
    <mergeCell ref="K128:L128"/>
    <mergeCell ref="H128:I128"/>
    <mergeCell ref="E128:F128"/>
    <mergeCell ref="E233:G233"/>
    <mergeCell ref="H126:I126"/>
    <mergeCell ref="A145:B147"/>
    <mergeCell ref="E131:F131"/>
    <mergeCell ref="A144:M144"/>
    <mergeCell ref="G229:H229"/>
    <mergeCell ref="K154:L154"/>
    <mergeCell ref="H145:J145"/>
    <mergeCell ref="H233:J233"/>
    <mergeCell ref="K233:M233"/>
    <mergeCell ref="E234:G234"/>
    <mergeCell ref="H234:J234"/>
    <mergeCell ref="D227:J227"/>
    <mergeCell ref="A222:M222"/>
    <mergeCell ref="K234:M234"/>
    <mergeCell ref="D231:J231"/>
    <mergeCell ref="E232:G232"/>
    <mergeCell ref="H232:J232"/>
    <mergeCell ref="K232:M232"/>
    <mergeCell ref="K145:M145"/>
    <mergeCell ref="L146:M146"/>
    <mergeCell ref="F146:G146"/>
    <mergeCell ref="A225:C225"/>
    <mergeCell ref="E140:F140"/>
    <mergeCell ref="K141:L141"/>
    <mergeCell ref="H154:I154"/>
    <mergeCell ref="H141:I141"/>
    <mergeCell ref="H140:I140"/>
    <mergeCell ref="K127:L127"/>
    <mergeCell ref="H131:I131"/>
    <mergeCell ref="E126:F126"/>
    <mergeCell ref="K130:L130"/>
    <mergeCell ref="E129:F129"/>
    <mergeCell ref="E130:F130"/>
    <mergeCell ref="K124:M124"/>
    <mergeCell ref="K153:M153"/>
    <mergeCell ref="K131:L131"/>
    <mergeCell ref="H125:J125"/>
    <mergeCell ref="K125:M125"/>
    <mergeCell ref="H123:J123"/>
    <mergeCell ref="K129:L129"/>
    <mergeCell ref="H129:I129"/>
    <mergeCell ref="K126:L126"/>
    <mergeCell ref="K140:L140"/>
    <mergeCell ref="E125:G125"/>
    <mergeCell ref="H236:I236"/>
    <mergeCell ref="K236:L236"/>
    <mergeCell ref="E235:F235"/>
    <mergeCell ref="A152:M152"/>
    <mergeCell ref="A153:C153"/>
    <mergeCell ref="E153:G153"/>
    <mergeCell ref="H153:J153"/>
    <mergeCell ref="A167:M167"/>
    <mergeCell ref="E154:F154"/>
    <mergeCell ref="E249:F249"/>
    <mergeCell ref="H249:I249"/>
    <mergeCell ref="K249:L249"/>
    <mergeCell ref="G228:H228"/>
    <mergeCell ref="E238:F238"/>
    <mergeCell ref="H238:I238"/>
    <mergeCell ref="K238:L238"/>
    <mergeCell ref="H235:I235"/>
    <mergeCell ref="K235:L235"/>
    <mergeCell ref="E236:F236"/>
    <mergeCell ref="E239:F239"/>
    <mergeCell ref="H239:I239"/>
    <mergeCell ref="K239:L239"/>
    <mergeCell ref="E240:F240"/>
    <mergeCell ref="H240:I240"/>
    <mergeCell ref="K240:L240"/>
    <mergeCell ref="E250:F250"/>
    <mergeCell ref="H250:I250"/>
    <mergeCell ref="K250:L250"/>
    <mergeCell ref="A253:M253"/>
    <mergeCell ref="K254:M254"/>
    <mergeCell ref="K264:L264"/>
    <mergeCell ref="C254:C256"/>
    <mergeCell ref="E254:G254"/>
    <mergeCell ref="H254:J254"/>
    <mergeCell ref="A263:C263"/>
    <mergeCell ref="E263:G263"/>
    <mergeCell ref="H263:J263"/>
    <mergeCell ref="F255:G255"/>
    <mergeCell ref="I255:J255"/>
    <mergeCell ref="D257:D259"/>
    <mergeCell ref="A254:B256"/>
    <mergeCell ref="A258:B258"/>
    <mergeCell ref="H264:I264"/>
    <mergeCell ref="A331:M331"/>
    <mergeCell ref="A257:B257"/>
    <mergeCell ref="A259:B259"/>
    <mergeCell ref="A262:M262"/>
    <mergeCell ref="E344:G344"/>
    <mergeCell ref="H344:J344"/>
    <mergeCell ref="K344:M344"/>
    <mergeCell ref="A276:M276"/>
    <mergeCell ref="E343:G343"/>
    <mergeCell ref="E278:I278"/>
    <mergeCell ref="A333:C333"/>
    <mergeCell ref="A334:C334"/>
    <mergeCell ref="A335:C335"/>
    <mergeCell ref="E346:F346"/>
    <mergeCell ref="H346:I346"/>
    <mergeCell ref="H361:I361"/>
    <mergeCell ref="E347:F347"/>
    <mergeCell ref="H347:I347"/>
    <mergeCell ref="K347:L347"/>
    <mergeCell ref="E348:F348"/>
    <mergeCell ref="H348:I348"/>
    <mergeCell ref="K348:L348"/>
    <mergeCell ref="E349:F349"/>
    <mergeCell ref="H349:I349"/>
    <mergeCell ref="K349:L349"/>
    <mergeCell ref="E350:F350"/>
    <mergeCell ref="H350:I350"/>
    <mergeCell ref="K350:L350"/>
    <mergeCell ref="K364:M364"/>
    <mergeCell ref="L365:M365"/>
    <mergeCell ref="H364:J364"/>
    <mergeCell ref="E351:F351"/>
    <mergeCell ref="H351:I351"/>
    <mergeCell ref="K351:L351"/>
    <mergeCell ref="K360:L360"/>
    <mergeCell ref="K361:L361"/>
    <mergeCell ref="A363:M363"/>
    <mergeCell ref="E361:F361"/>
    <mergeCell ref="A369:B369"/>
    <mergeCell ref="E360:F360"/>
    <mergeCell ref="H360:I360"/>
    <mergeCell ref="A368:B368"/>
    <mergeCell ref="F365:G365"/>
    <mergeCell ref="I365:J365"/>
    <mergeCell ref="A364:B366"/>
    <mergeCell ref="C364:C366"/>
    <mergeCell ref="E364:G364"/>
    <mergeCell ref="A367:B367"/>
    <mergeCell ref="K373:L373"/>
    <mergeCell ref="A386:M386"/>
    <mergeCell ref="A371:M371"/>
    <mergeCell ref="A372:C372"/>
    <mergeCell ref="E372:G372"/>
    <mergeCell ref="H372:J372"/>
    <mergeCell ref="K372:M372"/>
    <mergeCell ref="E373:F373"/>
    <mergeCell ref="H373:I373"/>
    <mergeCell ref="D447:J447"/>
    <mergeCell ref="G448:H448"/>
    <mergeCell ref="A551:M551"/>
    <mergeCell ref="E607:I607"/>
    <mergeCell ref="K452:M452"/>
    <mergeCell ref="E453:G453"/>
    <mergeCell ref="H453:J453"/>
    <mergeCell ref="K453:M453"/>
    <mergeCell ref="G449:H449"/>
    <mergeCell ref="D451:J451"/>
    <mergeCell ref="K454:M454"/>
    <mergeCell ref="E455:F455"/>
    <mergeCell ref="H455:I455"/>
    <mergeCell ref="K455:L455"/>
    <mergeCell ref="E452:G452"/>
    <mergeCell ref="H452:J452"/>
    <mergeCell ref="E454:G454"/>
    <mergeCell ref="H454:J454"/>
    <mergeCell ref="E456:F456"/>
    <mergeCell ref="H456:I456"/>
    <mergeCell ref="K456:L456"/>
    <mergeCell ref="E457:F457"/>
    <mergeCell ref="H457:I457"/>
    <mergeCell ref="K457:L457"/>
    <mergeCell ref="E458:F458"/>
    <mergeCell ref="H458:I458"/>
    <mergeCell ref="K458:L458"/>
    <mergeCell ref="E459:F459"/>
    <mergeCell ref="H459:I459"/>
    <mergeCell ref="K459:L459"/>
    <mergeCell ref="E460:F460"/>
    <mergeCell ref="H460:I460"/>
    <mergeCell ref="K460:L460"/>
    <mergeCell ref="E469:F469"/>
    <mergeCell ref="H469:I469"/>
    <mergeCell ref="K469:L469"/>
    <mergeCell ref="K470:L470"/>
    <mergeCell ref="A472:M472"/>
    <mergeCell ref="A476:B476"/>
    <mergeCell ref="A477:B477"/>
    <mergeCell ref="E473:G473"/>
    <mergeCell ref="H473:J473"/>
    <mergeCell ref="E470:F470"/>
    <mergeCell ref="H470:I470"/>
    <mergeCell ref="D476:D478"/>
    <mergeCell ref="A478:B478"/>
    <mergeCell ref="K473:M473"/>
    <mergeCell ref="F474:G474"/>
    <mergeCell ref="I474:J474"/>
    <mergeCell ref="L474:M474"/>
    <mergeCell ref="A473:B475"/>
    <mergeCell ref="C473:C475"/>
    <mergeCell ref="K482:L482"/>
    <mergeCell ref="A496:M496"/>
    <mergeCell ref="A480:M480"/>
    <mergeCell ref="A481:C481"/>
    <mergeCell ref="E481:G481"/>
    <mergeCell ref="H481:J481"/>
    <mergeCell ref="K481:M481"/>
    <mergeCell ref="E482:F482"/>
    <mergeCell ref="H482:I482"/>
    <mergeCell ref="D558:J558"/>
    <mergeCell ref="G559:H559"/>
    <mergeCell ref="K563:M563"/>
    <mergeCell ref="E564:G564"/>
    <mergeCell ref="H564:J564"/>
    <mergeCell ref="K564:M564"/>
    <mergeCell ref="G560:H560"/>
    <mergeCell ref="D562:J562"/>
    <mergeCell ref="E563:G563"/>
    <mergeCell ref="H563:J563"/>
    <mergeCell ref="E565:G565"/>
    <mergeCell ref="H565:J565"/>
    <mergeCell ref="K565:M565"/>
    <mergeCell ref="E566:F566"/>
    <mergeCell ref="H566:I566"/>
    <mergeCell ref="K566:L566"/>
    <mergeCell ref="E567:F567"/>
    <mergeCell ref="H567:I567"/>
    <mergeCell ref="K567:L567"/>
    <mergeCell ref="E568:F568"/>
    <mergeCell ref="H568:I568"/>
    <mergeCell ref="K568:L568"/>
    <mergeCell ref="K571:L571"/>
    <mergeCell ref="E580:F580"/>
    <mergeCell ref="H580:I580"/>
    <mergeCell ref="K580:L580"/>
    <mergeCell ref="E571:F571"/>
    <mergeCell ref="H571:I571"/>
    <mergeCell ref="E569:F569"/>
    <mergeCell ref="H569:I569"/>
    <mergeCell ref="K569:L569"/>
    <mergeCell ref="E570:F570"/>
    <mergeCell ref="H570:I570"/>
    <mergeCell ref="K570:L570"/>
    <mergeCell ref="A589:B589"/>
    <mergeCell ref="I585:J585"/>
    <mergeCell ref="A583:M583"/>
    <mergeCell ref="A587:B587"/>
    <mergeCell ref="A588:B588"/>
    <mergeCell ref="E584:G584"/>
    <mergeCell ref="H584:J584"/>
    <mergeCell ref="K584:M584"/>
    <mergeCell ref="E124:G124"/>
    <mergeCell ref="H124:J124"/>
    <mergeCell ref="E592:G592"/>
    <mergeCell ref="H592:J592"/>
    <mergeCell ref="K592:M592"/>
    <mergeCell ref="F585:G585"/>
    <mergeCell ref="A591:M591"/>
    <mergeCell ref="A592:C592"/>
    <mergeCell ref="H581:I581"/>
    <mergeCell ref="D587:D589"/>
    <mergeCell ref="K581:L581"/>
    <mergeCell ref="E581:F581"/>
    <mergeCell ref="A1:M1"/>
    <mergeCell ref="E58:I58"/>
    <mergeCell ref="A112:M112"/>
    <mergeCell ref="E169:I169"/>
    <mergeCell ref="G120:H120"/>
    <mergeCell ref="K123:M123"/>
    <mergeCell ref="I146:J146"/>
    <mergeCell ref="E123:G123"/>
    <mergeCell ref="K593:L593"/>
    <mergeCell ref="A606:M606"/>
    <mergeCell ref="E593:F593"/>
    <mergeCell ref="H593:I593"/>
    <mergeCell ref="L255:M255"/>
    <mergeCell ref="A584:B586"/>
    <mergeCell ref="C584:C586"/>
    <mergeCell ref="K263:M263"/>
    <mergeCell ref="E264:F264"/>
    <mergeCell ref="L585:M585"/>
  </mergeCells>
  <printOptions horizontalCentered="1"/>
  <pageMargins left="0.7874015748031497" right="0.3937007874015748" top="0.66" bottom="1.13" header="0.34" footer="0.89"/>
  <pageSetup horizontalDpi="600" verticalDpi="600" orientation="portrait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8:F18"/>
  <sheetViews>
    <sheetView tabSelected="1" zoomScalePageLayoutView="0" workbookViewId="0" topLeftCell="A1">
      <selection activeCell="B16" sqref="B16"/>
    </sheetView>
  </sheetViews>
  <sheetFormatPr defaultColWidth="11.421875" defaultRowHeight="12.75"/>
  <cols>
    <col min="3" max="3" width="17.8515625" style="0" customWidth="1"/>
    <col min="5" max="5" width="13.00390625" style="0" customWidth="1"/>
  </cols>
  <sheetData>
    <row r="8" spans="1:6" ht="15.75">
      <c r="A8" s="753" t="s">
        <v>191</v>
      </c>
      <c r="B8" s="754"/>
      <c r="C8" s="59" t="s">
        <v>194</v>
      </c>
      <c r="D8" s="754" t="s">
        <v>193</v>
      </c>
      <c r="E8" s="754"/>
      <c r="F8" s="60" t="s">
        <v>192</v>
      </c>
    </row>
    <row r="9" spans="1:6" ht="15.75">
      <c r="A9" s="747" t="s">
        <v>184</v>
      </c>
      <c r="B9" s="748"/>
      <c r="C9" s="61" t="s">
        <v>189</v>
      </c>
      <c r="D9" s="746" t="s">
        <v>230</v>
      </c>
      <c r="E9" s="746"/>
      <c r="F9" s="173" t="s">
        <v>190</v>
      </c>
    </row>
    <row r="10" spans="1:6" ht="15.75">
      <c r="A10" s="747" t="s">
        <v>185</v>
      </c>
      <c r="B10" s="748"/>
      <c r="C10" s="63" t="s">
        <v>189</v>
      </c>
      <c r="D10" s="746" t="s">
        <v>231</v>
      </c>
      <c r="E10" s="746"/>
      <c r="F10" s="62" t="s">
        <v>236</v>
      </c>
    </row>
    <row r="11" spans="1:6" ht="15.75">
      <c r="A11" s="747" t="s">
        <v>186</v>
      </c>
      <c r="B11" s="748"/>
      <c r="C11" s="61" t="s">
        <v>189</v>
      </c>
      <c r="D11" s="746" t="s">
        <v>232</v>
      </c>
      <c r="E11" s="746"/>
      <c r="F11" s="62" t="s">
        <v>236</v>
      </c>
    </row>
    <row r="12" spans="1:6" ht="15.75">
      <c r="A12" s="747" t="s">
        <v>187</v>
      </c>
      <c r="B12" s="748"/>
      <c r="C12" s="61" t="s">
        <v>189</v>
      </c>
      <c r="D12" s="746" t="s">
        <v>233</v>
      </c>
      <c r="E12" s="746"/>
      <c r="F12" s="62" t="s">
        <v>236</v>
      </c>
    </row>
    <row r="13" spans="1:6" ht="15.75">
      <c r="A13" s="749" t="s">
        <v>188</v>
      </c>
      <c r="B13" s="750"/>
      <c r="C13" s="64" t="s">
        <v>189</v>
      </c>
      <c r="D13" s="752" t="s">
        <v>234</v>
      </c>
      <c r="E13" s="752"/>
      <c r="F13" s="65" t="s">
        <v>190</v>
      </c>
    </row>
    <row r="14" spans="1:6" ht="15.75">
      <c r="A14" s="749" t="s">
        <v>229</v>
      </c>
      <c r="B14" s="750"/>
      <c r="C14" s="64" t="s">
        <v>189</v>
      </c>
      <c r="D14" s="752" t="s">
        <v>235</v>
      </c>
      <c r="E14" s="752"/>
      <c r="F14" s="65" t="s">
        <v>190</v>
      </c>
    </row>
    <row r="17" spans="3:4" ht="12.75">
      <c r="C17" s="6"/>
      <c r="D17" s="6"/>
    </row>
    <row r="18" spans="3:4" ht="15.75">
      <c r="C18" s="751"/>
      <c r="D18" s="751"/>
    </row>
  </sheetData>
  <sheetProtection/>
  <mergeCells count="15">
    <mergeCell ref="C18:D18"/>
    <mergeCell ref="A14:B14"/>
    <mergeCell ref="D14:E14"/>
    <mergeCell ref="A8:B8"/>
    <mergeCell ref="D8:E8"/>
    <mergeCell ref="D13:E13"/>
    <mergeCell ref="A9:B9"/>
    <mergeCell ref="A10:B10"/>
    <mergeCell ref="D9:E9"/>
    <mergeCell ref="D10:E10"/>
    <mergeCell ref="D11:E11"/>
    <mergeCell ref="D12:E12"/>
    <mergeCell ref="A11:B11"/>
    <mergeCell ref="A12:B12"/>
    <mergeCell ref="A13:B13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LEONIC</cp:lastModifiedBy>
  <cp:lastPrinted>2010-11-30T02:13:24Z</cp:lastPrinted>
  <dcterms:created xsi:type="dcterms:W3CDTF">2007-07-10T02:37:03Z</dcterms:created>
  <dcterms:modified xsi:type="dcterms:W3CDTF">2010-12-04T13:28:22Z</dcterms:modified>
  <cp:category/>
  <cp:version/>
  <cp:contentType/>
  <cp:contentStatus/>
</cp:coreProperties>
</file>